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gl\Desktop\"/>
    </mc:Choice>
  </mc:AlternateContent>
  <bookViews>
    <workbookView xWindow="11040" yWindow="465" windowWidth="9120" windowHeight="9210"/>
  </bookViews>
  <sheets>
    <sheet name="Beregner" sheetId="2" r:id="rId1"/>
    <sheet name="Nøgefordeling" sheetId="1" state="hidden" r:id="rId2"/>
    <sheet name="Tekst" sheetId="3" state="hidden" r:id="rId3"/>
  </sheets>
  <calcPr calcId="152511"/>
</workbook>
</file>

<file path=xl/calcChain.xml><?xml version="1.0" encoding="utf-8"?>
<calcChain xmlns="http://schemas.openxmlformats.org/spreadsheetml/2006/main">
  <c r="L2" i="3" l="1"/>
  <c r="M2" i="3"/>
  <c r="F4" i="2"/>
  <c r="W10" i="1" l="1"/>
  <c r="Z10" i="1" s="1"/>
  <c r="W11" i="1"/>
  <c r="Z11" i="1" s="1"/>
  <c r="W12" i="1"/>
  <c r="Z12" i="1" s="1"/>
  <c r="W13" i="1"/>
  <c r="Z13" i="1" s="1"/>
  <c r="W14" i="1"/>
  <c r="Z14" i="1" s="1"/>
  <c r="W15" i="1"/>
  <c r="Z15" i="1" s="1"/>
  <c r="W16" i="1"/>
  <c r="Z16" i="1" s="1"/>
  <c r="W17" i="1"/>
  <c r="Z17" i="1" s="1"/>
  <c r="W18" i="1"/>
  <c r="Z18" i="1" s="1"/>
  <c r="W19" i="1"/>
  <c r="Z19" i="1" s="1"/>
  <c r="W20" i="1"/>
  <c r="Z20" i="1" s="1"/>
  <c r="W9" i="1"/>
  <c r="Z9" i="1" s="1"/>
  <c r="R10" i="1"/>
  <c r="R11" i="1"/>
  <c r="R12" i="1"/>
  <c r="R13" i="1"/>
  <c r="R14" i="1"/>
  <c r="R15" i="1"/>
  <c r="R16" i="1"/>
  <c r="R17" i="1"/>
  <c r="R18" i="1"/>
  <c r="R19" i="1"/>
  <c r="R20" i="1"/>
  <c r="R9" i="1"/>
  <c r="V9" i="1" l="1"/>
  <c r="U9" i="1"/>
  <c r="U13" i="1"/>
  <c r="V13" i="1"/>
  <c r="U20" i="1"/>
  <c r="V20" i="1"/>
  <c r="U16" i="1"/>
  <c r="V16" i="1"/>
  <c r="U12" i="1"/>
  <c r="V12" i="1"/>
  <c r="U17" i="1"/>
  <c r="V17" i="1"/>
  <c r="U19" i="1"/>
  <c r="V19" i="1"/>
  <c r="U15" i="1"/>
  <c r="V15" i="1"/>
  <c r="U11" i="1"/>
  <c r="V11" i="1"/>
  <c r="U18" i="1"/>
  <c r="V18" i="1"/>
  <c r="U14" i="1"/>
  <c r="V14" i="1"/>
  <c r="U10" i="1"/>
  <c r="V10" i="1"/>
  <c r="E9" i="2"/>
  <c r="E29" i="2" s="1"/>
  <c r="E8" i="2"/>
  <c r="E28" i="2" l="1"/>
  <c r="R4" i="1"/>
  <c r="M9" i="2"/>
  <c r="F29" i="2" s="1"/>
  <c r="F30" i="2" s="1"/>
  <c r="M8" i="2"/>
  <c r="E11" i="2"/>
  <c r="E10" i="2"/>
  <c r="E19" i="2" l="1"/>
  <c r="D3" i="3" s="1"/>
  <c r="M11" i="2"/>
  <c r="C14" i="2" s="1"/>
  <c r="F28" i="2"/>
  <c r="L19" i="2" s="1"/>
  <c r="D2" i="3" s="1"/>
  <c r="J10" i="1"/>
  <c r="J11" i="1"/>
  <c r="J12" i="1"/>
  <c r="J13" i="1"/>
  <c r="J14" i="1"/>
  <c r="J15" i="1"/>
  <c r="J16" i="1"/>
  <c r="J17" i="1"/>
  <c r="J18" i="1"/>
  <c r="J19" i="1"/>
  <c r="J20" i="1"/>
  <c r="J9" i="1"/>
  <c r="H10" i="1"/>
  <c r="N10" i="1" s="1"/>
  <c r="H11" i="1"/>
  <c r="N11" i="1" s="1"/>
  <c r="H12" i="1"/>
  <c r="N12" i="1" s="1"/>
  <c r="H13" i="1"/>
  <c r="N13" i="1" s="1"/>
  <c r="H14" i="1"/>
  <c r="N14" i="1" s="1"/>
  <c r="H15" i="1"/>
  <c r="N15" i="1" s="1"/>
  <c r="H16" i="1"/>
  <c r="N16" i="1" s="1"/>
  <c r="H17" i="1"/>
  <c r="N17" i="1" s="1"/>
  <c r="H18" i="1"/>
  <c r="N18" i="1" s="1"/>
  <c r="H19" i="1"/>
  <c r="N19" i="1" s="1"/>
  <c r="H20" i="1"/>
  <c r="N20" i="1" s="1"/>
  <c r="H9" i="1"/>
  <c r="N9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M20" i="1" l="1"/>
  <c r="O20" i="1" s="1"/>
  <c r="L20" i="1"/>
  <c r="K9" i="1"/>
  <c r="M10" i="1"/>
  <c r="O10" i="1" s="1"/>
  <c r="M12" i="1"/>
  <c r="O12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I9" i="1"/>
  <c r="L11" i="1"/>
  <c r="L12" i="1"/>
  <c r="L13" i="1"/>
  <c r="L14" i="1"/>
  <c r="L16" i="1"/>
  <c r="L17" i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L19" i="1"/>
  <c r="L18" i="1"/>
  <c r="L15" i="1"/>
  <c r="M13" i="1"/>
  <c r="O13" i="1" s="1"/>
  <c r="M11" i="1"/>
  <c r="O11" i="1" s="1"/>
  <c r="L10" i="1"/>
  <c r="M9" i="1"/>
  <c r="O9" i="1" s="1"/>
  <c r="E5" i="1"/>
  <c r="I10" i="1" l="1"/>
  <c r="I11" i="1" s="1"/>
  <c r="I12" i="1" s="1"/>
  <c r="I13" i="1" s="1"/>
  <c r="I14" i="1" s="1"/>
  <c r="I15" i="1" s="1"/>
  <c r="I16" i="1" s="1"/>
  <c r="I17" i="1" s="1"/>
  <c r="I18" i="1" s="1"/>
  <c r="I19" i="1" s="1"/>
  <c r="H5" i="1" s="1"/>
  <c r="L9" i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l="1"/>
  <c r="I5" i="1"/>
  <c r="I20" i="1"/>
</calcChain>
</file>

<file path=xl/sharedStrings.xml><?xml version="1.0" encoding="utf-8"?>
<sst xmlns="http://schemas.openxmlformats.org/spreadsheetml/2006/main" count="122" uniqueCount="79">
  <si>
    <t>Varmeforbrug - fordelingstal</t>
  </si>
  <si>
    <t>Indtast årsforbrug</t>
  </si>
  <si>
    <t>Årsafkøling</t>
  </si>
  <si>
    <t>Indtast dag og måned</t>
  </si>
  <si>
    <t>Forventet forbrug i</t>
  </si>
  <si>
    <t>m3</t>
  </si>
  <si>
    <t>GJ</t>
  </si>
  <si>
    <t>ºC</t>
  </si>
  <si>
    <t>Dag</t>
  </si>
  <si>
    <t>Måned</t>
  </si>
  <si>
    <t>Dage</t>
  </si>
  <si>
    <t>Forbrug m3</t>
  </si>
  <si>
    <t>Summeret m3</t>
  </si>
  <si>
    <t>Forbrug GJ</t>
  </si>
  <si>
    <t>Summeret GJ</t>
  </si>
  <si>
    <t>m3 pr. dag</t>
  </si>
  <si>
    <t>GJ pr. dag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</si>
  <si>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</si>
  <si>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</si>
  <si>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</si>
  <si>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</si>
  <si>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</si>
  <si>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</si>
  <si>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</si>
  <si>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</si>
  <si>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</si>
  <si>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</si>
  <si>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</si>
  <si>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</si>
  <si>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m3-forbrug 
% af hele året.</t>
  </si>
  <si>
    <t>GJ summeret %</t>
  </si>
  <si>
    <t>m3 summeret %</t>
  </si>
  <si>
    <t>Afkøling</t>
  </si>
  <si>
    <t>Densitet, fjernvarmevand</t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</si>
  <si>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</si>
  <si>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t>Specifikke varmekapacitet, fjernvarmevand</t>
  </si>
  <si>
    <r>
      <t xml:space="preserve">J </t>
    </r>
    <r>
      <rPr>
        <sz val="11"/>
        <color theme="1"/>
        <rFont val="Calibri"/>
        <family val="2"/>
      </rPr>
      <t>∙ kg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 xml:space="preserve"> ∙ K</t>
    </r>
    <r>
      <rPr>
        <vertAlign val="superscript"/>
        <sz val="11"/>
        <color theme="1"/>
        <rFont val="Calibri"/>
        <family val="2"/>
      </rPr>
      <t>-1</t>
    </r>
  </si>
  <si>
    <t>kWh pr. dag</t>
  </si>
  <si>
    <t>Energiforbrug
% af hele året.</t>
  </si>
  <si>
    <t>[GJ]</t>
  </si>
  <si>
    <t>Forventet årsforbrug [GJ]</t>
  </si>
  <si>
    <r>
      <t>Forventet årsforbrug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</si>
  <si>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m</t>
    </r>
    <r>
      <rPr>
        <vertAlign val="superscript"/>
        <sz val="10"/>
        <rFont val="Arial"/>
        <family val="2"/>
      </rPr>
      <t>3</t>
    </r>
  </si>
  <si>
    <t>Forventet årsafkøling</t>
  </si>
  <si>
    <r>
      <rPr>
        <sz val="10"/>
        <rFont val="Calibri"/>
        <family val="2"/>
      </rPr>
      <t>ᵒ</t>
    </r>
    <r>
      <rPr>
        <sz val="10"/>
        <rFont val="Arial"/>
        <family val="2"/>
      </rPr>
      <t>C</t>
    </r>
  </si>
  <si>
    <t>Forventet driftsomkostning</t>
  </si>
  <si>
    <t>Energipris</t>
  </si>
  <si>
    <t>Fjernvarmevand</t>
  </si>
  <si>
    <r>
      <rPr>
        <vertAlign val="superscript"/>
        <sz val="10"/>
        <rFont val="Arial"/>
        <family val="2"/>
      </rPr>
      <t>kr.</t>
    </r>
    <r>
      <rPr>
        <sz val="10"/>
        <rFont val="Arial"/>
        <family val="2"/>
      </rPr>
      <t>/</t>
    </r>
    <r>
      <rPr>
        <vertAlign val="subscript"/>
        <sz val="10"/>
        <rFont val="Arial"/>
        <family val="2"/>
      </rPr>
      <t>GJ</t>
    </r>
  </si>
  <si>
    <r>
      <rPr>
        <vertAlign val="superscript"/>
        <sz val="10"/>
        <rFont val="Arial"/>
        <family val="2"/>
      </rPr>
      <t>kr.</t>
    </r>
    <r>
      <rPr>
        <sz val="10"/>
        <rFont val="Arial"/>
        <family val="2"/>
      </rPr>
      <t>/</t>
    </r>
    <r>
      <rPr>
        <vertAlign val="subscript"/>
        <sz val="10"/>
        <rFont val="Arial"/>
        <family val="2"/>
      </rPr>
      <t>m3</t>
    </r>
  </si>
  <si>
    <r>
      <rPr>
        <vertAlign val="superscript"/>
        <sz val="10"/>
        <rFont val="Arial"/>
        <family val="2"/>
      </rPr>
      <t>kr.</t>
    </r>
    <r>
      <rPr>
        <sz val="10"/>
        <rFont val="Arial"/>
        <family val="2"/>
      </rPr>
      <t>/</t>
    </r>
    <r>
      <rPr>
        <vertAlign val="subscript"/>
        <sz val="10"/>
        <rFont val="Arial"/>
        <family val="2"/>
      </rPr>
      <t>år</t>
    </r>
    <r>
      <rPr>
        <sz val="10"/>
        <rFont val="Arial"/>
        <family val="2"/>
      </rPr>
      <t xml:space="preserve"> (ekskl. faste bidrag)</t>
    </r>
  </si>
  <si>
    <t>Kubikmeter</t>
  </si>
  <si>
    <t>Energi</t>
  </si>
  <si>
    <t>Månedsforbrug</t>
  </si>
  <si>
    <r>
      <t>[m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>]</t>
    </r>
  </si>
  <si>
    <t>Årlig omkostning</t>
  </si>
  <si>
    <t xml:space="preserve">         Årlig omkostning</t>
  </si>
  <si>
    <r>
      <rPr>
        <vertAlign val="superscript"/>
        <sz val="10"/>
        <color theme="0"/>
        <rFont val="Arial"/>
        <family val="2"/>
      </rPr>
      <t>kr.</t>
    </r>
    <r>
      <rPr>
        <sz val="10"/>
        <color theme="0"/>
        <rFont val="Arial"/>
        <family val="2"/>
      </rPr>
      <t>/</t>
    </r>
    <r>
      <rPr>
        <vertAlign val="subscript"/>
        <sz val="10"/>
        <color theme="0"/>
        <rFont val="Arial"/>
        <family val="2"/>
      </rPr>
      <t>år</t>
    </r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</si>
  <si>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</si>
  <si>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</si>
  <si>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</si>
  <si>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</si>
  <si>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</si>
  <si>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</si>
  <si>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</si>
  <si>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</si>
  <si>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</si>
  <si>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</si>
  <si>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</si>
  <si>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Søbakkevej</t>
  </si>
  <si>
    <t>%-mæssig forskel</t>
  </si>
  <si>
    <t xml:space="preserve"> </t>
  </si>
  <si>
    <t>Normalfordelingsnøgle</t>
  </si>
  <si>
    <t>Kubikmeter (pct. af årsforbrug)</t>
  </si>
  <si>
    <t>Energi (pct. af årsforbrug)</t>
  </si>
  <si>
    <t>Skovhavevej</t>
  </si>
  <si>
    <r>
      <t>[</t>
    </r>
    <r>
      <rPr>
        <i/>
        <sz val="8"/>
        <rFont val="Calibri"/>
        <family val="2"/>
      </rPr>
      <t>ᵒ</t>
    </r>
    <r>
      <rPr>
        <i/>
        <sz val="8"/>
        <rFont val="Arial"/>
        <family val="2"/>
      </rPr>
      <t>C]</t>
    </r>
  </si>
  <si>
    <t>Forventet årsforbrug med nuværende forbrugsmønster</t>
  </si>
  <si>
    <r>
      <t xml:space="preserve">Forventet årsforbrug med forbedret afkøling (årsgennemsnit 30,0 </t>
    </r>
    <r>
      <rPr>
        <b/>
        <sz val="10"/>
        <rFont val="Calibri"/>
        <family val="2"/>
      </rPr>
      <t>ᵒ</t>
    </r>
    <r>
      <rPr>
        <b/>
        <sz val="10"/>
        <rFont val="Arial"/>
        <family val="2"/>
      </rPr>
      <t>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</si>
</sst>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"/>
    <numFmt numFmtId="166" formatCode="_ * #,##0_ ;_ * \-#,##0_ ;_ * &quot;-&quot;??_ ;_ @_ "/>
    <numFmt numFmtId="167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vertAlign val="subscript"/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0"/>
      <name val="Calibri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i/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2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3" fillId="3" borderId="5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3" fillId="3" borderId="8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 wrapText="1"/>
    </xf>
    <xf numFmtId="165" fontId="3" fillId="3" borderId="7" xfId="0" applyNumberFormat="1" applyFont="1" applyFill="1" applyBorder="1" applyAlignment="1" applyProtection="1">
      <alignment horizontal="center"/>
    </xf>
    <xf numFmtId="1" fontId="3" fillId="3" borderId="1" xfId="0" applyNumberFormat="1" applyFont="1" applyFill="1" applyBorder="1" applyAlignment="1" applyProtection="1">
      <alignment horizontal="center"/>
    </xf>
    <xf numFmtId="165" fontId="3" fillId="3" borderId="1" xfId="0" applyNumberFormat="1" applyFont="1" applyFill="1" applyBorder="1" applyAlignment="1" applyProtection="1">
      <alignment horizontal="center"/>
    </xf>
    <xf numFmtId="14" fontId="0" fillId="0" borderId="0" xfId="0" applyNumberFormat="1" applyProtection="1"/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6" xfId="0" applyBorder="1" applyAlignment="1" applyProtection="1">
      <alignment horizontal="center" wrapText="1"/>
    </xf>
    <xf numFmtId="0" fontId="0" fillId="0" borderId="17" xfId="0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0" fillId="0" borderId="16" xfId="0" applyBorder="1" applyProtection="1"/>
    <xf numFmtId="165" fontId="0" fillId="0" borderId="17" xfId="0" applyNumberFormat="1" applyBorder="1" applyAlignment="1" applyProtection="1">
      <alignment horizontal="center"/>
    </xf>
    <xf numFmtId="165" fontId="3" fillId="0" borderId="18" xfId="0" applyNumberFormat="1" applyFont="1" applyBorder="1" applyAlignment="1" applyProtection="1">
      <alignment horizontal="center"/>
    </xf>
    <xf numFmtId="2" fontId="3" fillId="0" borderId="18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Protection="1"/>
    <xf numFmtId="0" fontId="0" fillId="0" borderId="20" xfId="0" applyBorder="1" applyAlignment="1" applyProtection="1">
      <alignment horizontal="center"/>
    </xf>
    <xf numFmtId="165" fontId="0" fillId="0" borderId="21" xfId="0" applyNumberFormat="1" applyBorder="1" applyAlignment="1" applyProtection="1">
      <alignment horizontal="center"/>
    </xf>
    <xf numFmtId="165" fontId="3" fillId="0" borderId="22" xfId="0" applyNumberFormat="1" applyFont="1" applyBorder="1" applyAlignment="1" applyProtection="1">
      <alignment horizontal="center"/>
    </xf>
    <xf numFmtId="2" fontId="3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0" fontId="0" fillId="0" borderId="16" xfId="1" applyNumberFormat="1" applyFont="1" applyBorder="1" applyAlignment="1" applyProtection="1">
      <alignment horizontal="center"/>
    </xf>
    <xf numFmtId="10" fontId="0" fillId="0" borderId="20" xfId="1" applyNumberFormat="1" applyFont="1" applyBorder="1" applyAlignment="1" applyProtection="1">
      <alignment horizontal="center"/>
    </xf>
    <xf numFmtId="166" fontId="0" fillId="0" borderId="0" xfId="4" applyNumberFormat="1" applyFont="1"/>
    <xf numFmtId="165" fontId="0" fillId="0" borderId="0" xfId="0" applyNumberFormat="1" applyProtection="1"/>
    <xf numFmtId="0" fontId="0" fillId="0" borderId="0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2" fontId="0" fillId="0" borderId="0" xfId="0" applyNumberFormat="1" applyProtection="1"/>
    <xf numFmtId="0" fontId="4" fillId="0" borderId="0" xfId="0" applyFont="1" applyAlignment="1">
      <alignment horizontal="center"/>
    </xf>
    <xf numFmtId="0" fontId="4" fillId="0" borderId="0" xfId="0" applyFont="1"/>
    <xf numFmtId="165" fontId="0" fillId="0" borderId="16" xfId="0" applyNumberFormat="1" applyBorder="1" applyAlignment="1" applyProtection="1">
      <alignment horizontal="center"/>
    </xf>
    <xf numFmtId="165" fontId="0" fillId="0" borderId="20" xfId="0" applyNumberFormat="1" applyBorder="1" applyAlignment="1" applyProtection="1">
      <alignment horizontal="center"/>
    </xf>
    <xf numFmtId="0" fontId="0" fillId="4" borderId="0" xfId="0" applyFill="1"/>
    <xf numFmtId="2" fontId="0" fillId="0" borderId="16" xfId="1" applyNumberFormat="1" applyFont="1" applyBorder="1" applyAlignment="1" applyProtection="1">
      <alignment horizontal="center"/>
    </xf>
    <xf numFmtId="2" fontId="0" fillId="0" borderId="20" xfId="1" applyNumberFormat="1" applyFont="1" applyBorder="1" applyAlignment="1" applyProtection="1">
      <alignment horizontal="center"/>
    </xf>
    <xf numFmtId="0" fontId="12" fillId="0" borderId="0" xfId="0" applyFont="1"/>
    <xf numFmtId="0" fontId="3" fillId="0" borderId="0" xfId="0" applyFont="1"/>
    <xf numFmtId="0" fontId="13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4" fontId="0" fillId="0" borderId="0" xfId="0" applyNumberFormat="1" applyBorder="1" applyAlignment="1">
      <alignment vertical="center"/>
    </xf>
    <xf numFmtId="3" fontId="12" fillId="0" borderId="0" xfId="0" applyNumberFormat="1" applyFont="1"/>
    <xf numFmtId="0" fontId="15" fillId="0" borderId="0" xfId="0" applyFont="1" applyAlignment="1">
      <alignment horizontal="center" vertical="center"/>
    </xf>
    <xf numFmtId="0" fontId="0" fillId="0" borderId="0" xfId="0" applyFill="1"/>
    <xf numFmtId="167" fontId="0" fillId="0" borderId="16" xfId="1" applyNumberFormat="1" applyFont="1" applyBorder="1" applyAlignment="1" applyProtection="1">
      <alignment horizontal="center"/>
    </xf>
    <xf numFmtId="167" fontId="0" fillId="0" borderId="20" xfId="1" applyNumberFormat="1" applyFont="1" applyBorder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2" fontId="0" fillId="4" borderId="0" xfId="0" applyNumberFormat="1" applyFill="1" applyProtection="1"/>
    <xf numFmtId="0" fontId="4" fillId="0" borderId="26" xfId="0" applyFont="1" applyFill="1" applyBorder="1" applyAlignment="1" applyProtection="1">
      <alignment horizontal="center" wrapText="1"/>
    </xf>
    <xf numFmtId="0" fontId="0" fillId="0" borderId="26" xfId="0" applyBorder="1" applyProtection="1"/>
    <xf numFmtId="165" fontId="0" fillId="0" borderId="26" xfId="0" applyNumberFormat="1" applyBorder="1" applyProtection="1"/>
    <xf numFmtId="0" fontId="0" fillId="0" borderId="0" xfId="0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2" fontId="0" fillId="4" borderId="23" xfId="0" applyNumberFormat="1" applyFill="1" applyBorder="1" applyProtection="1"/>
    <xf numFmtId="2" fontId="0" fillId="0" borderId="24" xfId="0" applyNumberFormat="1" applyBorder="1" applyProtection="1"/>
    <xf numFmtId="165" fontId="0" fillId="0" borderId="25" xfId="0" applyNumberFormat="1" applyBorder="1" applyProtection="1"/>
    <xf numFmtId="2" fontId="0" fillId="4" borderId="24" xfId="0" applyNumberFormat="1" applyFill="1" applyBorder="1" applyProtection="1"/>
    <xf numFmtId="2" fontId="0" fillId="4" borderId="27" xfId="0" applyNumberFormat="1" applyFill="1" applyBorder="1" applyProtection="1"/>
    <xf numFmtId="2" fontId="0" fillId="0" borderId="28" xfId="0" applyNumberFormat="1" applyBorder="1" applyProtection="1"/>
    <xf numFmtId="165" fontId="0" fillId="0" borderId="29" xfId="0" applyNumberFormat="1" applyBorder="1" applyProtection="1"/>
    <xf numFmtId="2" fontId="0" fillId="4" borderId="28" xfId="0" applyNumberFormat="1" applyFill="1" applyBorder="1" applyProtection="1"/>
    <xf numFmtId="0" fontId="0" fillId="0" borderId="0" xfId="0" applyBorder="1" applyProtection="1"/>
    <xf numFmtId="0" fontId="0" fillId="5" borderId="0" xfId="0" applyFill="1" applyProtection="1"/>
    <xf numFmtId="0" fontId="3" fillId="0" borderId="0" xfId="0" applyFont="1" applyBorder="1"/>
    <xf numFmtId="0" fontId="0" fillId="0" borderId="30" xfId="0" applyBorder="1"/>
    <xf numFmtId="0" fontId="3" fillId="0" borderId="31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4" fillId="0" borderId="34" xfId="0" applyFont="1" applyBorder="1" applyAlignment="1">
      <alignment vertical="center"/>
    </xf>
    <xf numFmtId="0" fontId="0" fillId="0" borderId="35" xfId="0" applyBorder="1"/>
    <xf numFmtId="0" fontId="4" fillId="0" borderId="36" xfId="0" applyFont="1" applyBorder="1" applyAlignment="1">
      <alignment vertical="center"/>
    </xf>
    <xf numFmtId="0" fontId="0" fillId="0" borderId="36" xfId="0" applyBorder="1" applyAlignment="1">
      <alignment vertical="center"/>
    </xf>
    <xf numFmtId="3" fontId="0" fillId="0" borderId="36" xfId="0" applyNumberForma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" fillId="0" borderId="30" xfId="0" applyFont="1" applyBorder="1"/>
    <xf numFmtId="0" fontId="4" fillId="0" borderId="0" xfId="0" applyFont="1" applyFill="1" applyBorder="1" applyProtection="1"/>
    <xf numFmtId="0" fontId="12" fillId="0" borderId="0" xfId="0" applyFont="1" applyFill="1"/>
    <xf numFmtId="0" fontId="4" fillId="0" borderId="0" xfId="0" applyFont="1" applyFill="1"/>
    <xf numFmtId="0" fontId="4" fillId="0" borderId="0" xfId="0" applyFont="1" applyFill="1" applyBorder="1" applyAlignment="1" applyProtection="1">
      <alignment horizontal="center" wrapText="1"/>
    </xf>
    <xf numFmtId="165" fontId="0" fillId="0" borderId="24" xfId="0" applyNumberFormat="1" applyBorder="1" applyProtection="1"/>
    <xf numFmtId="165" fontId="0" fillId="0" borderId="0" xfId="0" applyNumberFormat="1" applyBorder="1" applyProtection="1"/>
    <xf numFmtId="165" fontId="0" fillId="0" borderId="28" xfId="0" applyNumberFormat="1" applyBorder="1" applyProtection="1"/>
    <xf numFmtId="3" fontId="4" fillId="0" borderId="0" xfId="0" applyNumberFormat="1" applyFont="1" applyFill="1"/>
    <xf numFmtId="165" fontId="4" fillId="0" borderId="0" xfId="0" applyNumberFormat="1" applyFont="1" applyFill="1"/>
    <xf numFmtId="2" fontId="4" fillId="0" borderId="0" xfId="0" applyNumberFormat="1" applyFont="1" applyFill="1"/>
    <xf numFmtId="4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5" borderId="26" xfId="0" applyFont="1" applyFill="1" applyBorder="1" applyAlignment="1" applyProtection="1">
      <alignment horizontal="center"/>
    </xf>
    <xf numFmtId="2" fontId="0" fillId="5" borderId="0" xfId="0" applyNumberFormat="1" applyFill="1" applyProtection="1"/>
    <xf numFmtId="165" fontId="0" fillId="5" borderId="0" xfId="0" applyNumberFormat="1" applyFill="1" applyBorder="1" applyProtection="1"/>
    <xf numFmtId="165" fontId="0" fillId="5" borderId="26" xfId="0" applyNumberFormat="1" applyFill="1" applyBorder="1" applyProtection="1"/>
    <xf numFmtId="1" fontId="0" fillId="0" borderId="0" xfId="0" applyNumberFormat="1" applyAlignment="1">
      <alignment horizontal="center"/>
    </xf>
    <xf numFmtId="2" fontId="0" fillId="4" borderId="0" xfId="0" applyNumberFormat="1" applyFill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2" fontId="0" fillId="4" borderId="0" xfId="0" applyNumberFormat="1" applyFill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</cellXfs>
  <cellStyles count="5">
    <cellStyle name="Komma" xfId="4" builtinId="3"/>
    <cellStyle name="Normal" xfId="0" builtinId="0"/>
    <cellStyle name="Normal 2" xfId="2"/>
    <cellStyle name="Procent" xfId="1" builtinId="5"/>
    <cellStyle name="Procent 2" xfId="3"/>
  </cellStyles>
  <dxfs count="0"/>
  <tableStyles count="0" defaultTableStyle="TableStyleMedium2" defaultPivotStyle="PivotStyleLight16"/>
  <colors>
    <mruColors>
      <color rgb="FFEF720B"/>
      <color rgb="FFFF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da-DK" sz="1600"/>
              <a:t>Sammenligning af årlige omkostning til fjernvarme</a:t>
            </a:r>
            <a:r>
              <a:rPr lang="da-DK" sz="1600" baseline="0"/>
              <a:t> (ekskl. faste bidrag)</a:t>
            </a:r>
            <a:endParaRPr lang="da-DK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Energi</c:v>
          </c:tx>
          <c:spPr>
            <a:solidFill>
              <a:srgbClr val="FF9801"/>
            </a:solidFill>
            <a:effectLst>
              <a:outerShdw blurRad="25400" dist="254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50" b="1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Tekst!$L$2:$M$2</c:f>
              <c:strCache>
                <c:ptCount val="2"/>
                <c:pt idx="0">
                  <c:v>Forventet årsforbrug med nuværende forbrugsmønster</c:v>
                </c:pt>
                <c:pt idx="1">
                  <c:v>Forventet årsforbrug med forbedret afkøling (årsgennemsnit 30,0 ᵒC)</c:v>
                </c:pt>
              </c:strCache>
            </c:strRef>
          </c:cat>
          <c:val>
            <c:numRef>
              <c:f>Beregner!$E$28:$F$28</c:f>
              <c:numCache>
                <c:formatCode>#,##0</c:formatCode>
                <c:ptCount val="2"/>
                <c:pt idx="0">
                  <c:v>9123.1167239162078</c:v>
                </c:pt>
                <c:pt idx="1">
                  <c:v>9123.1167239162078</c:v>
                </c:pt>
              </c:numCache>
            </c:numRef>
          </c:val>
        </c:ser>
        <c:ser>
          <c:idx val="1"/>
          <c:order val="1"/>
          <c:tx>
            <c:v>Kubikmeter</c:v>
          </c:tx>
          <c:spPr>
            <a:solidFill>
              <a:srgbClr val="EF720B"/>
            </a:solidFill>
            <a:effectLst>
              <a:outerShdw blurRad="25400" dist="25400" dir="18900000" algn="bl" rotWithShape="0">
                <a:schemeClr val="tx1"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50" b="1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Tekst!$L$2:$M$2</c:f>
              <c:strCache>
                <c:ptCount val="2"/>
                <c:pt idx="0">
                  <c:v>Forventet årsforbrug med nuværende forbrugsmønster</c:v>
                </c:pt>
                <c:pt idx="1">
                  <c:v>Forventet årsforbrug med forbedret afkøling (årsgennemsnit 30,0 ᵒC)</c:v>
                </c:pt>
              </c:strCache>
            </c:strRef>
          </c:cat>
          <c:val>
            <c:numRef>
              <c:f>Beregner!$E$29:$F$29</c:f>
              <c:numCache>
                <c:formatCode>#,##0</c:formatCode>
                <c:ptCount val="2"/>
                <c:pt idx="0">
                  <c:v>7121.3723148865629</c:v>
                </c:pt>
                <c:pt idx="1">
                  <c:v>3190.0242033533841</c:v>
                </c:pt>
              </c:numCache>
            </c:numRef>
          </c:val>
        </c:ser>
        <c:ser>
          <c:idx val="2"/>
          <c:order val="2"/>
          <c:tx>
            <c:v>Besparelse</c:v>
          </c:tx>
          <c:spPr>
            <a:pattFill prst="ltDnDiag">
              <a:fgClr>
                <a:srgbClr val="EF720B"/>
              </a:fgClr>
              <a:bgClr>
                <a:schemeClr val="bg1"/>
              </a:bgClr>
            </a:pattFill>
            <a:effectLst>
              <a:outerShdw blurRad="25400" dist="254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50" b="1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Tekst!$L$2:$M$2</c:f>
              <c:strCache>
                <c:ptCount val="2"/>
                <c:pt idx="0">
                  <c:v>Forventet årsforbrug med nuværende forbrugsmønster</c:v>
                </c:pt>
                <c:pt idx="1">
                  <c:v>Forventet årsforbrug med forbedret afkøling (årsgennemsnit 30,0 ᵒC)</c:v>
                </c:pt>
              </c:strCache>
            </c:strRef>
          </c:cat>
          <c:val>
            <c:numRef>
              <c:f>Beregner!$E$30:$F$30</c:f>
              <c:numCache>
                <c:formatCode>#,##0</c:formatCode>
                <c:ptCount val="2"/>
                <c:pt idx="1">
                  <c:v>3931.3481115331788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43805264"/>
        <c:axId val="143805656"/>
      </c:barChart>
      <c:catAx>
        <c:axId val="143805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da-DK"/>
          </a:p>
        </c:txPr>
        <c:crossAx val="143805656"/>
        <c:crosses val="autoZero"/>
        <c:auto val="1"/>
        <c:lblAlgn val="ctr"/>
        <c:lblOffset val="100"/>
        <c:noMultiLvlLbl val="0"/>
      </c:catAx>
      <c:valAx>
        <c:axId val="143805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da-DK" sz="1050"/>
                  <a:t>Forventet</a:t>
                </a:r>
                <a:r>
                  <a:rPr lang="da-DK" sz="1050" baseline="0"/>
                  <a:t> årsafregning [kr./år]</a:t>
                </a:r>
                <a:endParaRPr lang="da-DK" sz="1050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438052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 b="1">
              <a:latin typeface="Exo" panose="02000603000000000000" pitchFamily="2" charset="0"/>
            </a:defRPr>
          </a:pPr>
          <a:endParaRPr lang="da-DK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947896773581421E-2"/>
          <c:y val="7.2254437226840829E-2"/>
          <c:w val="0.79146965220354393"/>
          <c:h val="0.70809348482304013"/>
        </c:manualLayout>
      </c:layout>
      <c:barChart>
        <c:barDir val="col"/>
        <c:grouping val="clustered"/>
        <c:varyColors val="0"/>
        <c:ser>
          <c:idx val="0"/>
          <c:order val="0"/>
          <c:tx>
            <c:v>m3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Nøgefordeling!$B$9:$B$20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Nøgefordeling!$H$9:$H$20</c:f>
              <c:numCache>
                <c:formatCode>0.0</c:formatCode>
                <c:ptCount val="12"/>
                <c:pt idx="0">
                  <c:v>193.77217451259079</c:v>
                </c:pt>
                <c:pt idx="1">
                  <c:v>185.65133779903189</c:v>
                </c:pt>
                <c:pt idx="2">
                  <c:v>171.76239536428099</c:v>
                </c:pt>
                <c:pt idx="3">
                  <c:v>117.74658629189518</c:v>
                </c:pt>
                <c:pt idx="4">
                  <c:v>77.64122827397108</c:v>
                </c:pt>
                <c:pt idx="5">
                  <c:v>58.813840422133275</c:v>
                </c:pt>
                <c:pt idx="6">
                  <c:v>53.271863872986465</c:v>
                </c:pt>
                <c:pt idx="7">
                  <c:v>52.868690876904921</c:v>
                </c:pt>
                <c:pt idx="8">
                  <c:v>66.709248130022729</c:v>
                </c:pt>
                <c:pt idx="9">
                  <c:v>100.31718501951745</c:v>
                </c:pt>
                <c:pt idx="10">
                  <c:v>142.97394930976185</c:v>
                </c:pt>
                <c:pt idx="11">
                  <c:v>178.47150012690292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09184"/>
        <c:axId val="574359272"/>
      </c:barChart>
      <c:barChart>
        <c:barDir val="col"/>
        <c:grouping val="clustered"/>
        <c:varyColors val="0"/>
        <c:ser>
          <c:idx val="1"/>
          <c:order val="1"/>
          <c:tx>
            <c:v>GJ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Nøgefordeling!$B$9:$B$20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Nøgefordeling!$J$9:$J$20</c:f>
              <c:numCache>
                <c:formatCode>0.0</c:formatCode>
                <c:ptCount val="12"/>
                <c:pt idx="0">
                  <c:v>22.112287461486584</c:v>
                </c:pt>
                <c:pt idx="1">
                  <c:v>21.318993887718836</c:v>
                </c:pt>
                <c:pt idx="2">
                  <c:v>18.445895554742627</c:v>
                </c:pt>
                <c:pt idx="3">
                  <c:v>11.993926671351694</c:v>
                </c:pt>
                <c:pt idx="4">
                  <c:v>7.0355564917031961</c:v>
                </c:pt>
                <c:pt idx="5">
                  <c:v>4.6853131392829441</c:v>
                </c:pt>
                <c:pt idx="6">
                  <c:v>3.5829181134143044</c:v>
                </c:pt>
                <c:pt idx="7">
                  <c:v>3.5608099790210117</c:v>
                </c:pt>
                <c:pt idx="8">
                  <c:v>5.8806486520370465</c:v>
                </c:pt>
                <c:pt idx="9">
                  <c:v>10.785364643487682</c:v>
                </c:pt>
                <c:pt idx="10">
                  <c:v>15.228504990885074</c:v>
                </c:pt>
                <c:pt idx="11">
                  <c:v>19.809780414869095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574355744"/>
        <c:axId val="574359664"/>
      </c:barChart>
      <c:catAx>
        <c:axId val="14380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74359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4359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3809184"/>
        <c:crosses val="autoZero"/>
        <c:crossBetween val="between"/>
      </c:valAx>
      <c:catAx>
        <c:axId val="57435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4359664"/>
        <c:crosses val="autoZero"/>
        <c:auto val="1"/>
        <c:lblAlgn val="ctr"/>
        <c:lblOffset val="100"/>
        <c:noMultiLvlLbl val="0"/>
      </c:catAx>
      <c:valAx>
        <c:axId val="574359664"/>
        <c:scaling>
          <c:orientation val="minMax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7435574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839953774434911"/>
          <c:y val="0.34393124269870889"/>
          <c:w val="6.2271614369099386E-2"/>
          <c:h val="0.198458877611396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0</xdr:row>
      <xdr:rowOff>0</xdr:rowOff>
    </xdr:from>
    <xdr:to>
      <xdr:col>15</xdr:col>
      <xdr:colOff>0</xdr:colOff>
      <xdr:row>4</xdr:row>
      <xdr:rowOff>44349</xdr:rowOff>
    </xdr:to>
    <xdr:pic>
      <xdr:nvPicPr>
        <xdr:cNvPr id="4" name="Billed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9520" y="0"/>
          <a:ext cx="1539240" cy="6310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30480</xdr:rowOff>
    </xdr:from>
    <xdr:to>
      <xdr:col>15</xdr:col>
      <xdr:colOff>7620</xdr:colOff>
      <xdr:row>36</xdr:row>
      <xdr:rowOff>91440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571500</xdr:colOff>
      <xdr:row>16</xdr:row>
      <xdr:rowOff>15240</xdr:rowOff>
    </xdr:from>
    <xdr:to>
      <xdr:col>13</xdr:col>
      <xdr:colOff>754380</xdr:colOff>
      <xdr:row>17</xdr:row>
      <xdr:rowOff>106680</xdr:rowOff>
    </xdr:to>
    <xdr:sp macro="" textlink="Tekst!D2">
      <xdr:nvSpPr>
        <xdr:cNvPr id="8" name="Tekstboks 7"/>
        <xdr:cNvSpPr txBox="1"/>
      </xdr:nvSpPr>
      <xdr:spPr>
        <a:xfrm>
          <a:off x="5684520" y="2964180"/>
          <a:ext cx="26212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ECD9EFA-29AF-450A-8F91-C3CB71810448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Den årlige omkostning er 12.313 kr. pr. år.</a:t>
          </a:fld>
          <a:endParaRPr lang="da-DK" sz="1100"/>
        </a:p>
      </xdr:txBody>
    </xdr:sp>
    <xdr:clientData/>
  </xdr:twoCellAnchor>
  <xdr:twoCellAnchor>
    <xdr:from>
      <xdr:col>3</xdr:col>
      <xdr:colOff>449580</xdr:colOff>
      <xdr:row>16</xdr:row>
      <xdr:rowOff>22860</xdr:rowOff>
    </xdr:from>
    <xdr:to>
      <xdr:col>5</xdr:col>
      <xdr:colOff>1196340</xdr:colOff>
      <xdr:row>17</xdr:row>
      <xdr:rowOff>91440</xdr:rowOff>
    </xdr:to>
    <xdr:sp macro="" textlink="Tekst!D3">
      <xdr:nvSpPr>
        <xdr:cNvPr id="9" name="Tekstboks 8"/>
        <xdr:cNvSpPr txBox="1"/>
      </xdr:nvSpPr>
      <xdr:spPr>
        <a:xfrm>
          <a:off x="1783080" y="2971800"/>
          <a:ext cx="26212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F800934-5DA5-40CA-809D-2376F7B98F20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Den årlige omkostning er 16.244 kr. pr. år.</a:t>
          </a:fld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21</xdr:row>
      <xdr:rowOff>5715</xdr:rowOff>
    </xdr:from>
    <xdr:to>
      <xdr:col>12</xdr:col>
      <xdr:colOff>704850</xdr:colOff>
      <xdr:row>41</xdr:row>
      <xdr:rowOff>68580</xdr:rowOff>
    </xdr:to>
    <xdr:graphicFrame macro="">
      <xdr:nvGraphicFramePr>
        <xdr:cNvPr id="102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6"/>
  <sheetViews>
    <sheetView showGridLines="0" showRowColHeaders="0" tabSelected="1" workbookViewId="0">
      <selection activeCell="D4" sqref="D4"/>
    </sheetView>
  </sheetViews>
  <sheetFormatPr defaultRowHeight="12.75" x14ac:dyDescent="0.2"/>
  <cols>
    <col min="1" max="1" width="3.28515625" customWidth="1"/>
    <col min="2" max="2" width="2.28515625" customWidth="1"/>
    <col min="3" max="5" width="13.7109375" customWidth="1"/>
    <col min="6" max="6" width="20.7109375" bestFit="1" customWidth="1"/>
    <col min="7" max="9" width="2.28515625" customWidth="1"/>
    <col min="14" max="14" width="20.7109375" bestFit="1" customWidth="1"/>
    <col min="15" max="15" width="2.28515625" customWidth="1"/>
    <col min="17" max="17" width="21.5703125" customWidth="1"/>
  </cols>
  <sheetData>
    <row r="1" spans="1:37" ht="7.15" customHeight="1" x14ac:dyDescent="0.2">
      <c r="P1" s="44"/>
      <c r="Q1" s="50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</row>
    <row r="2" spans="1:37" x14ac:dyDescent="0.2">
      <c r="B2" s="115" t="s">
        <v>53</v>
      </c>
      <c r="C2" s="115"/>
      <c r="D2" s="58" t="s">
        <v>52</v>
      </c>
      <c r="E2" s="58" t="s">
        <v>51</v>
      </c>
      <c r="F2" s="58" t="s">
        <v>32</v>
      </c>
      <c r="G2" s="43"/>
      <c r="H2" s="43"/>
      <c r="P2" s="44"/>
      <c r="Q2" s="50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</row>
    <row r="3" spans="1:37" ht="12.6" customHeight="1" x14ac:dyDescent="0.2">
      <c r="B3" s="51"/>
      <c r="D3" s="61" t="s">
        <v>39</v>
      </c>
      <c r="E3" s="61" t="s">
        <v>54</v>
      </c>
      <c r="F3" s="61" t="s">
        <v>76</v>
      </c>
      <c r="G3" s="43"/>
      <c r="H3" s="43"/>
      <c r="P3" s="44"/>
      <c r="Q3" s="50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7" x14ac:dyDescent="0.2">
      <c r="B4" s="116" t="s">
        <v>28</v>
      </c>
      <c r="C4" s="116"/>
      <c r="D4" s="114">
        <v>12.06</v>
      </c>
      <c r="E4" s="114">
        <v>201.74</v>
      </c>
      <c r="F4" s="113">
        <f>D4*10^9/(E4*Nøgefordeling!M2*Nøgefordeling!M3)</f>
        <v>14.457822360983368</v>
      </c>
      <c r="P4" s="44"/>
      <c r="Q4" s="50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37" ht="9" customHeight="1" x14ac:dyDescent="0.2">
      <c r="P5" s="44"/>
      <c r="Q5" s="50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</row>
    <row r="6" spans="1:37" x14ac:dyDescent="0.2">
      <c r="B6" s="83" t="s">
        <v>77</v>
      </c>
      <c r="C6" s="53"/>
      <c r="D6" s="53"/>
      <c r="E6" s="53"/>
      <c r="F6" s="53"/>
      <c r="G6" s="53"/>
      <c r="I6" s="51" t="s">
        <v>78</v>
      </c>
      <c r="O6" s="53"/>
      <c r="P6" s="44"/>
      <c r="Q6" s="50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</row>
    <row r="7" spans="1:37" ht="4.1500000000000004" customHeight="1" x14ac:dyDescent="0.2">
      <c r="A7" s="53"/>
      <c r="B7" s="84"/>
      <c r="C7" s="85"/>
      <c r="D7" s="86"/>
      <c r="E7" s="86"/>
      <c r="F7" s="86"/>
      <c r="G7" s="87"/>
      <c r="I7" s="95"/>
      <c r="J7" s="86"/>
      <c r="K7" s="86"/>
      <c r="L7" s="86"/>
      <c r="M7" s="86"/>
      <c r="N7" s="86"/>
      <c r="O7" s="87"/>
      <c r="P7" s="44"/>
      <c r="Q7" s="50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</row>
    <row r="8" spans="1:37" ht="16.149999999999999" customHeight="1" x14ac:dyDescent="0.2">
      <c r="A8" s="53"/>
      <c r="B8" s="88"/>
      <c r="C8" s="57" t="s">
        <v>40</v>
      </c>
      <c r="D8" s="54"/>
      <c r="E8" s="59">
        <f>D4/(VLOOKUP(B4,Nøgefordeling!B9:C20,2,FALSE)*100)*100</f>
        <v>87.933655170276708</v>
      </c>
      <c r="F8" s="57" t="s">
        <v>6</v>
      </c>
      <c r="G8" s="89"/>
      <c r="H8" s="57"/>
      <c r="I8" s="88"/>
      <c r="J8" s="57" t="s">
        <v>40</v>
      </c>
      <c r="K8" s="54"/>
      <c r="L8" s="54"/>
      <c r="M8" s="59">
        <f>E8</f>
        <v>87.933655170276708</v>
      </c>
      <c r="N8" s="57" t="s">
        <v>6</v>
      </c>
      <c r="O8" s="89"/>
      <c r="P8" s="44"/>
      <c r="Q8" s="50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37" ht="16.149999999999999" customHeight="1" x14ac:dyDescent="0.2">
      <c r="A9" s="53"/>
      <c r="B9" s="88"/>
      <c r="C9" s="57" t="s">
        <v>41</v>
      </c>
      <c r="D9" s="54"/>
      <c r="E9" s="55">
        <f>E4/(VLOOKUP(B4,Nøgefordeling!B9:E20,4,FALSE)*100)*100</f>
        <v>1582.5271810859028</v>
      </c>
      <c r="F9" s="57" t="s">
        <v>42</v>
      </c>
      <c r="G9" s="89"/>
      <c r="H9" s="57"/>
      <c r="I9" s="88"/>
      <c r="J9" s="57" t="s">
        <v>41</v>
      </c>
      <c r="K9" s="54"/>
      <c r="L9" s="54"/>
      <c r="M9" s="55">
        <f>E8*10^9/(Nøgefordeling!M2*Nøgefordeling!M3*Beregner!M10)</f>
        <v>708.8942674118631</v>
      </c>
      <c r="N9" s="57" t="s">
        <v>42</v>
      </c>
      <c r="O9" s="89"/>
      <c r="P9" s="44"/>
      <c r="Q9" s="50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1:37" ht="16.149999999999999" customHeight="1" x14ac:dyDescent="0.2">
      <c r="A10" s="53"/>
      <c r="B10" s="88"/>
      <c r="C10" s="57" t="s">
        <v>43</v>
      </c>
      <c r="D10" s="54"/>
      <c r="E10" s="56">
        <f>E8*10^9/(E9*Nøgefordeling!M2*Nøgefordeling!M3)</f>
        <v>13.438523063953292</v>
      </c>
      <c r="F10" s="57" t="s">
        <v>44</v>
      </c>
      <c r="G10" s="89"/>
      <c r="H10" s="57"/>
      <c r="I10" s="88"/>
      <c r="J10" s="57" t="s">
        <v>2</v>
      </c>
      <c r="K10" s="54"/>
      <c r="L10" s="54"/>
      <c r="M10" s="56">
        <v>30</v>
      </c>
      <c r="N10" s="57" t="s">
        <v>44</v>
      </c>
      <c r="O10" s="89"/>
      <c r="P10" s="44"/>
      <c r="Q10" s="50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37" ht="16.149999999999999" customHeight="1" x14ac:dyDescent="0.2">
      <c r="A11" s="53"/>
      <c r="B11" s="88"/>
      <c r="C11" s="57" t="s">
        <v>45</v>
      </c>
      <c r="D11" s="54"/>
      <c r="E11" s="55">
        <f>E8*Tekst!J2+E9*Tekst!J3</f>
        <v>16244.489038802771</v>
      </c>
      <c r="F11" s="57" t="s">
        <v>50</v>
      </c>
      <c r="G11" s="89"/>
      <c r="H11" s="57"/>
      <c r="I11" s="88"/>
      <c r="J11" s="57" t="s">
        <v>45</v>
      </c>
      <c r="K11" s="54"/>
      <c r="L11" s="54"/>
      <c r="M11" s="55">
        <f>M8*Tekst!J2+M9*Tekst!J3</f>
        <v>12313.140927269593</v>
      </c>
      <c r="N11" s="57" t="s">
        <v>50</v>
      </c>
      <c r="O11" s="89"/>
      <c r="P11" s="44"/>
      <c r="Q11" s="50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37" ht="4.1500000000000004" customHeight="1" x14ac:dyDescent="0.2">
      <c r="A12" s="53"/>
      <c r="B12" s="90"/>
      <c r="C12" s="91"/>
      <c r="D12" s="92"/>
      <c r="E12" s="93"/>
      <c r="F12" s="91"/>
      <c r="G12" s="94"/>
      <c r="H12" s="57"/>
      <c r="I12" s="90"/>
      <c r="J12" s="91"/>
      <c r="K12" s="92"/>
      <c r="L12" s="92"/>
      <c r="M12" s="93"/>
      <c r="N12" s="91"/>
      <c r="O12" s="94"/>
      <c r="P12" s="44"/>
      <c r="Q12" s="50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37" ht="6" customHeight="1" x14ac:dyDescent="0.2">
      <c r="B13" s="53"/>
      <c r="F13" s="53"/>
      <c r="P13" s="44"/>
      <c r="Q13" s="50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1:37" ht="15" x14ac:dyDescent="0.25">
      <c r="C14" s="52" t="str">
        <f>IF(E11-M11&lt;0,"","Du kan forvente at spare "&amp;TEXT(E11-M11,"#.##0")&amp;" kr. pr. år, hvis din gennemsnitlige årsafkøling af dit fjernvarmevand er 30 grader.")</f>
        <v>Du kan forvente at spare 3.931 kr. pr. år, hvis din gennemsnitlige årsafkøling af dit fjernvarmevand er 30 grader.</v>
      </c>
      <c r="P14" s="44"/>
      <c r="Q14" s="50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1:37" x14ac:dyDescent="0.2">
      <c r="P15" s="44"/>
      <c r="Q15" s="50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37" x14ac:dyDescent="0.2"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P16" s="44"/>
      <c r="Q16" s="50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3:37" x14ac:dyDescent="0.2">
      <c r="G17" s="44"/>
      <c r="H17" s="44"/>
      <c r="I17" s="44"/>
      <c r="P17" s="44"/>
      <c r="Q17" s="50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</row>
    <row r="18" spans="3:37" x14ac:dyDescent="0.2">
      <c r="E18" s="119" t="s">
        <v>56</v>
      </c>
      <c r="F18" s="119"/>
      <c r="G18" s="50"/>
      <c r="H18" s="50"/>
      <c r="I18" s="50"/>
      <c r="J18" s="50"/>
      <c r="K18" s="50"/>
      <c r="L18" s="118" t="s">
        <v>55</v>
      </c>
      <c r="M18" s="118"/>
      <c r="N18" s="50"/>
      <c r="P18" s="44"/>
      <c r="Q18" s="50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</row>
    <row r="19" spans="3:37" ht="15.75" x14ac:dyDescent="0.3">
      <c r="C19" s="44"/>
      <c r="E19" s="60">
        <f>E11</f>
        <v>16244.489038802771</v>
      </c>
      <c r="F19" s="50" t="s">
        <v>57</v>
      </c>
      <c r="G19" s="50"/>
      <c r="H19" s="50"/>
      <c r="I19" s="50"/>
      <c r="J19" s="50"/>
      <c r="K19" s="50"/>
      <c r="L19" s="60">
        <f>F28+F29</f>
        <v>12313.140927269593</v>
      </c>
      <c r="M19" s="50" t="s">
        <v>57</v>
      </c>
      <c r="N19" s="50"/>
      <c r="P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</row>
    <row r="20" spans="3:37" x14ac:dyDescent="0.2">
      <c r="C20" s="44"/>
      <c r="D20" s="44"/>
      <c r="E20" s="44"/>
      <c r="F20" s="44"/>
      <c r="G20" s="44"/>
      <c r="H20" s="44"/>
      <c r="I20" s="44"/>
      <c r="J20" s="44"/>
      <c r="K20" s="44"/>
      <c r="L20" s="117"/>
      <c r="M20" s="117"/>
      <c r="P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</row>
    <row r="21" spans="3:37" x14ac:dyDescent="0.2"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P21" s="44"/>
      <c r="Q21" s="97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44"/>
      <c r="AE21" s="44"/>
      <c r="AF21" s="44"/>
      <c r="AG21" s="44"/>
      <c r="AH21" s="44"/>
      <c r="AI21" s="44"/>
      <c r="AJ21" s="44"/>
      <c r="AK21" s="44"/>
    </row>
    <row r="22" spans="3:37" x14ac:dyDescent="0.2"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P22" s="44"/>
      <c r="Q22" s="97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44"/>
      <c r="AE22" s="44"/>
      <c r="AF22" s="44"/>
      <c r="AG22" s="44"/>
      <c r="AH22" s="44"/>
      <c r="AI22" s="44"/>
      <c r="AJ22" s="44"/>
      <c r="AK22" s="44"/>
    </row>
    <row r="23" spans="3:37" x14ac:dyDescent="0.2">
      <c r="D23" s="44"/>
      <c r="E23" s="44"/>
      <c r="F23" s="44"/>
      <c r="P23" s="44"/>
      <c r="Q23" s="97"/>
      <c r="R23" s="103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44"/>
      <c r="AE23" s="44"/>
      <c r="AF23" s="44"/>
      <c r="AG23" s="44"/>
      <c r="AH23" s="44"/>
      <c r="AI23" s="44"/>
      <c r="AJ23" s="44"/>
      <c r="AK23" s="44"/>
    </row>
    <row r="24" spans="3:37" x14ac:dyDescent="0.2">
      <c r="P24" s="44"/>
      <c r="Q24" s="97"/>
      <c r="R24" s="104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44"/>
      <c r="AE24" s="44"/>
      <c r="AF24" s="44"/>
      <c r="AG24" s="44"/>
      <c r="AH24" s="44"/>
      <c r="AI24" s="44"/>
      <c r="AJ24" s="44"/>
      <c r="AK24" s="44"/>
    </row>
    <row r="25" spans="3:37" x14ac:dyDescent="0.2">
      <c r="P25" s="44"/>
      <c r="Q25" s="97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44"/>
      <c r="AE25" s="44"/>
      <c r="AF25" s="44"/>
      <c r="AG25" s="44"/>
      <c r="AH25" s="44"/>
      <c r="AI25" s="44"/>
      <c r="AJ25" s="44"/>
      <c r="AK25" s="44"/>
    </row>
    <row r="26" spans="3:37" x14ac:dyDescent="0.2">
      <c r="P26" s="44"/>
      <c r="Q26" s="98"/>
      <c r="R26" s="105"/>
      <c r="S26" s="105"/>
      <c r="T26" s="105"/>
      <c r="U26" s="105"/>
      <c r="V26" s="105"/>
      <c r="W26" s="105"/>
      <c r="X26" s="105"/>
      <c r="Y26" s="106"/>
      <c r="Z26" s="105"/>
      <c r="AA26" s="105"/>
      <c r="AB26" s="105"/>
      <c r="AC26" s="105"/>
      <c r="AD26" s="44"/>
      <c r="AE26" s="44"/>
      <c r="AF26" s="44"/>
      <c r="AG26" s="44"/>
      <c r="AH26" s="44"/>
      <c r="AI26" s="44"/>
      <c r="AJ26" s="44"/>
      <c r="AK26" s="44"/>
    </row>
    <row r="27" spans="3:37" x14ac:dyDescent="0.2">
      <c r="E27" s="50"/>
      <c r="F27" s="50"/>
      <c r="P27" s="44"/>
      <c r="Q27" s="98"/>
      <c r="R27" s="103"/>
      <c r="S27" s="103"/>
      <c r="T27" s="103"/>
      <c r="U27" s="103"/>
      <c r="V27" s="103"/>
      <c r="W27" s="103"/>
      <c r="X27" s="103"/>
      <c r="Y27" s="107"/>
      <c r="Z27" s="103"/>
      <c r="AA27" s="103"/>
      <c r="AB27" s="103"/>
      <c r="AC27" s="103"/>
      <c r="AD27" s="44"/>
      <c r="AE27" s="44"/>
      <c r="AF27" s="44"/>
      <c r="AG27" s="44"/>
      <c r="AH27" s="44"/>
      <c r="AI27" s="44"/>
      <c r="AJ27" s="44"/>
      <c r="AK27" s="44"/>
    </row>
    <row r="28" spans="3:37" x14ac:dyDescent="0.2">
      <c r="E28" s="60">
        <f>E8*Tekst!J2</f>
        <v>9123.1167239162078</v>
      </c>
      <c r="F28" s="60">
        <f>M8*Tekst!J2</f>
        <v>9123.1167239162078</v>
      </c>
      <c r="P28" s="44"/>
      <c r="Q28" s="98"/>
      <c r="R28" s="104"/>
      <c r="S28" s="104"/>
      <c r="T28" s="104"/>
      <c r="U28" s="104"/>
      <c r="V28" s="104"/>
      <c r="W28" s="104"/>
      <c r="X28" s="104"/>
      <c r="Y28" s="108"/>
      <c r="Z28" s="104"/>
      <c r="AA28" s="104"/>
      <c r="AB28" s="104"/>
      <c r="AC28" s="104"/>
      <c r="AD28" s="44"/>
      <c r="AE28" s="44"/>
      <c r="AF28" s="44"/>
      <c r="AG28" s="44"/>
      <c r="AH28" s="44"/>
      <c r="AI28" s="44"/>
      <c r="AJ28" s="44"/>
      <c r="AK28" s="44"/>
    </row>
    <row r="29" spans="3:37" x14ac:dyDescent="0.2">
      <c r="E29" s="60">
        <f>E9*Tekst!J3</f>
        <v>7121.3723148865629</v>
      </c>
      <c r="F29" s="60">
        <f>M9*Tekst!J3</f>
        <v>3190.0242033533841</v>
      </c>
      <c r="P29" s="44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44"/>
      <c r="AE29" s="44"/>
      <c r="AF29" s="44"/>
      <c r="AG29" s="44"/>
      <c r="AH29" s="44"/>
      <c r="AI29" s="44"/>
      <c r="AJ29" s="44"/>
      <c r="AK29" s="44"/>
    </row>
    <row r="30" spans="3:37" x14ac:dyDescent="0.2">
      <c r="E30" s="50"/>
      <c r="F30" s="60">
        <f>E29-F29</f>
        <v>3931.3481115331788</v>
      </c>
      <c r="P30" s="44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44"/>
      <c r="AE30" s="44"/>
      <c r="AF30" s="44"/>
      <c r="AG30" s="44"/>
      <c r="AH30" s="44"/>
      <c r="AI30" s="44"/>
      <c r="AJ30" s="44"/>
      <c r="AK30" s="44"/>
    </row>
    <row r="31" spans="3:37" x14ac:dyDescent="0.2">
      <c r="E31" s="50"/>
      <c r="F31" s="50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3:37" x14ac:dyDescent="0.2"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4:37" x14ac:dyDescent="0.2"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4:37" x14ac:dyDescent="0.2"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4:37" x14ac:dyDescent="0.2"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</row>
    <row r="36" spans="14:37" x14ac:dyDescent="0.2">
      <c r="N36" s="62"/>
      <c r="O36" s="62"/>
    </row>
  </sheetData>
  <sheetProtection password="8204" sheet="1" objects="1" scenarios="1" selectLockedCells="1"/>
  <mergeCells count="5">
    <mergeCell ref="B2:C2"/>
    <mergeCell ref="B4:C4"/>
    <mergeCell ref="L20:M20"/>
    <mergeCell ref="L18:M18"/>
    <mergeCell ref="E18:F18"/>
  </mergeCells>
  <pageMargins left="0.7" right="0.7" top="0.75" bottom="0.75" header="0.3" footer="0.3"/>
  <pageSetup paperSize="9" scale="9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Tekst!$C$1:$C$8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Z25"/>
  <sheetViews>
    <sheetView showGridLines="0" topLeftCell="B1" workbookViewId="0">
      <selection activeCell="H5" sqref="H5"/>
    </sheetView>
  </sheetViews>
  <sheetFormatPr defaultColWidth="9.140625" defaultRowHeight="12.75" x14ac:dyDescent="0.2"/>
  <cols>
    <col min="1" max="1" width="5.42578125" style="4" hidden="1" customWidth="1"/>
    <col min="2" max="2" width="10.85546875" style="3" customWidth="1"/>
    <col min="3" max="3" width="13.7109375" style="3" customWidth="1"/>
    <col min="4" max="4" width="15.140625" style="3" customWidth="1"/>
    <col min="5" max="5" width="13.7109375" style="3" customWidth="1"/>
    <col min="6" max="6" width="15.7109375" style="3" customWidth="1"/>
    <col min="7" max="7" width="11.42578125" style="3" customWidth="1"/>
    <col min="8" max="8" width="11.140625" style="3" customWidth="1"/>
    <col min="9" max="9" width="14.42578125" style="3" customWidth="1"/>
    <col min="10" max="10" width="12.5703125" style="3" customWidth="1"/>
    <col min="11" max="11" width="13.42578125" style="3" customWidth="1"/>
    <col min="12" max="12" width="11.28515625" style="3" customWidth="1"/>
    <col min="13" max="13" width="11" style="3" customWidth="1"/>
    <col min="14" max="14" width="10.140625" style="3" bestFit="1" customWidth="1"/>
    <col min="15" max="15" width="14.5703125" style="3" customWidth="1"/>
    <col min="16" max="16" width="9.28515625" style="3" customWidth="1"/>
    <col min="17" max="17" width="9.140625" style="3"/>
    <col min="18" max="18" width="14.85546875" style="3" customWidth="1"/>
    <col min="19" max="19" width="10.140625" style="3" bestFit="1" customWidth="1"/>
    <col min="20" max="20" width="10.140625" style="3" customWidth="1"/>
    <col min="21" max="22" width="10.7109375" style="3" customWidth="1"/>
    <col min="23" max="23" width="14.7109375" style="3" customWidth="1"/>
    <col min="24" max="24" width="10.140625" style="3" bestFit="1" customWidth="1"/>
    <col min="25" max="25" width="10.140625" style="3" customWidth="1"/>
    <col min="26" max="26" width="10.42578125" style="3" customWidth="1"/>
    <col min="27" max="16384" width="9.140625" style="3"/>
  </cols>
  <sheetData>
    <row r="1" spans="1:26" ht="18" customHeight="1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26" ht="12.75" customHeight="1" thickBot="1" x14ac:dyDescent="0.3">
      <c r="B2" s="2"/>
      <c r="C2" s="2"/>
      <c r="D2" s="32"/>
      <c r="E2" s="32"/>
      <c r="F2" s="2"/>
      <c r="G2" s="2"/>
      <c r="H2" s="2"/>
      <c r="I2" s="2"/>
      <c r="J2" s="2"/>
      <c r="K2" s="2"/>
      <c r="L2" t="s">
        <v>33</v>
      </c>
      <c r="M2" s="35">
        <v>988</v>
      </c>
      <c r="N2" t="s">
        <v>34</v>
      </c>
    </row>
    <row r="3" spans="1:26" ht="18.75" customHeight="1" x14ac:dyDescent="0.25">
      <c r="C3" s="125" t="s">
        <v>1</v>
      </c>
      <c r="D3" s="126"/>
      <c r="E3" s="5" t="s">
        <v>2</v>
      </c>
      <c r="F3" s="125" t="s">
        <v>3</v>
      </c>
      <c r="G3" s="126"/>
      <c r="H3" s="125" t="s">
        <v>4</v>
      </c>
      <c r="I3" s="126"/>
      <c r="L3" t="s">
        <v>35</v>
      </c>
      <c r="M3" s="35">
        <v>4185</v>
      </c>
      <c r="N3" t="s">
        <v>36</v>
      </c>
    </row>
    <row r="4" spans="1:26" ht="13.5" thickBot="1" x14ac:dyDescent="0.25">
      <c r="B4" s="6"/>
      <c r="C4" s="7" t="s">
        <v>5</v>
      </c>
      <c r="D4" s="8" t="s">
        <v>6</v>
      </c>
      <c r="E4" s="9" t="s">
        <v>7</v>
      </c>
      <c r="F4" s="10" t="s">
        <v>8</v>
      </c>
      <c r="G4" s="11" t="s">
        <v>9</v>
      </c>
      <c r="H4" s="12" t="s">
        <v>5</v>
      </c>
      <c r="I4" s="8" t="s">
        <v>6</v>
      </c>
      <c r="R4" s="3">
        <f>Beregner!E8*10^9/(Nøgefordeling!M2*Nøgefordeling!M3*30)</f>
        <v>708.8942674118631</v>
      </c>
    </row>
    <row r="5" spans="1:26" ht="13.5" thickBot="1" x14ac:dyDescent="0.25">
      <c r="B5" s="6"/>
      <c r="C5" s="1">
        <v>1400</v>
      </c>
      <c r="D5" s="1">
        <v>144.44</v>
      </c>
      <c r="E5" s="13">
        <f>D5*239/C5</f>
        <v>24.657971428571425</v>
      </c>
      <c r="F5" s="1">
        <v>31</v>
      </c>
      <c r="G5" s="1">
        <v>12</v>
      </c>
      <c r="H5" s="14">
        <f>VLOOKUP(G5-1,A7:M20,9,TRUE)+(VLOOKUP(G5,A7:M20,12,TRUE)*F5)</f>
        <v>1399.9999999999995</v>
      </c>
      <c r="I5" s="15">
        <f>VLOOKUP(G5-1,A7:M20,11,TRUE)+(VLOOKUP(G5,A7:M20,13,TRUE)*F5)</f>
        <v>144.44000000000011</v>
      </c>
    </row>
    <row r="6" spans="1:26" ht="13.5" thickBot="1" x14ac:dyDescent="0.25">
      <c r="C6" s="16"/>
      <c r="D6" s="16"/>
      <c r="E6" s="16"/>
      <c r="Q6" s="81"/>
      <c r="R6" s="120" t="s">
        <v>74</v>
      </c>
      <c r="S6" s="121"/>
      <c r="T6" s="121"/>
      <c r="U6" s="121"/>
      <c r="V6" s="71"/>
      <c r="W6" s="120" t="s">
        <v>73</v>
      </c>
      <c r="X6" s="121"/>
      <c r="Y6" s="121"/>
      <c r="Z6" s="121"/>
    </row>
    <row r="7" spans="1:26" ht="25.5" x14ac:dyDescent="0.2">
      <c r="A7" s="122" t="s">
        <v>9</v>
      </c>
      <c r="B7" s="123"/>
      <c r="C7" s="38" t="s">
        <v>38</v>
      </c>
      <c r="D7" s="39" t="s">
        <v>30</v>
      </c>
      <c r="E7" s="38" t="s">
        <v>29</v>
      </c>
      <c r="F7" s="39" t="s">
        <v>31</v>
      </c>
      <c r="G7" s="39" t="s">
        <v>10</v>
      </c>
      <c r="H7" s="39" t="s">
        <v>11</v>
      </c>
      <c r="I7" s="39" t="s">
        <v>12</v>
      </c>
      <c r="J7" s="39" t="s">
        <v>13</v>
      </c>
      <c r="K7" s="40" t="s">
        <v>14</v>
      </c>
      <c r="L7" s="41" t="s">
        <v>15</v>
      </c>
      <c r="M7" s="41" t="s">
        <v>16</v>
      </c>
      <c r="N7" s="37" t="s">
        <v>32</v>
      </c>
      <c r="O7" s="37" t="s">
        <v>37</v>
      </c>
      <c r="P7" s="37"/>
      <c r="Q7" s="69"/>
      <c r="R7" s="66" t="s">
        <v>72</v>
      </c>
      <c r="S7" s="65" t="s">
        <v>69</v>
      </c>
      <c r="T7" s="65" t="s">
        <v>75</v>
      </c>
      <c r="U7" s="99" t="s">
        <v>70</v>
      </c>
      <c r="V7" s="68" t="s">
        <v>70</v>
      </c>
      <c r="W7" s="66" t="s">
        <v>72</v>
      </c>
      <c r="X7" s="65" t="s">
        <v>69</v>
      </c>
      <c r="Y7" s="96" t="s">
        <v>75</v>
      </c>
      <c r="Z7" s="68" t="s">
        <v>70</v>
      </c>
    </row>
    <row r="8" spans="1:26" hidden="1" x14ac:dyDescent="0.2">
      <c r="A8" s="17">
        <v>0</v>
      </c>
      <c r="B8" s="18"/>
      <c r="C8" s="19">
        <v>0</v>
      </c>
      <c r="D8" s="18">
        <v>0</v>
      </c>
      <c r="E8" s="19"/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20">
        <v>0</v>
      </c>
      <c r="L8" s="21">
        <v>0</v>
      </c>
      <c r="M8" s="21">
        <v>0</v>
      </c>
      <c r="Q8" s="69"/>
      <c r="U8" s="69"/>
      <c r="V8" s="81"/>
      <c r="Z8" s="69"/>
    </row>
    <row r="9" spans="1:26" x14ac:dyDescent="0.2">
      <c r="A9" s="17">
        <v>1</v>
      </c>
      <c r="B9" s="22" t="s">
        <v>17</v>
      </c>
      <c r="C9" s="63">
        <v>0.15308977749575314</v>
      </c>
      <c r="D9" s="33">
        <f>C9</f>
        <v>0.15308977749575314</v>
      </c>
      <c r="E9" s="48">
        <v>0.138408696080422</v>
      </c>
      <c r="F9" s="33">
        <f>E9</f>
        <v>0.138408696080422</v>
      </c>
      <c r="G9" s="18">
        <v>31</v>
      </c>
      <c r="H9" s="45">
        <f>$C$5*E9</f>
        <v>193.77217451259079</v>
      </c>
      <c r="I9" s="45">
        <f>H9</f>
        <v>193.77217451259079</v>
      </c>
      <c r="J9" s="45">
        <f>$D$5*C9</f>
        <v>22.112287461486584</v>
      </c>
      <c r="K9" s="23">
        <f>J9</f>
        <v>22.112287461486584</v>
      </c>
      <c r="L9" s="24">
        <f t="shared" ref="L9:L20" si="0">H9/G9</f>
        <v>6.2507153068577672</v>
      </c>
      <c r="M9" s="25">
        <f>J9/G9</f>
        <v>0.71329959553182531</v>
      </c>
      <c r="N9" s="36">
        <f>J9*10^9/($M$3*$M$2*H9)</f>
        <v>27.598777913377038</v>
      </c>
      <c r="O9" s="36">
        <f>M9*10^9*2.7777777778*10^(-7)</f>
        <v>198.13877653820322</v>
      </c>
      <c r="P9" s="36"/>
      <c r="Q9" s="72" t="s">
        <v>58</v>
      </c>
      <c r="R9" s="73">
        <f>C9*100</f>
        <v>15.308977749575314</v>
      </c>
      <c r="S9" s="74">
        <v>16.410256410256409</v>
      </c>
      <c r="T9" s="74">
        <v>16.259100242673139</v>
      </c>
      <c r="U9" s="100">
        <f>S9/R9*100</f>
        <v>107.19367862894467</v>
      </c>
      <c r="V9" s="75">
        <f>T9/R9*100</f>
        <v>106.2063091908549</v>
      </c>
      <c r="W9" s="76">
        <f>E9*100</f>
        <v>13.840869608042199</v>
      </c>
      <c r="X9" s="74">
        <v>8.79118226799147</v>
      </c>
      <c r="Y9" s="74">
        <v>17.350893982058395</v>
      </c>
      <c r="Z9" s="75">
        <f>X9/W9*100</f>
        <v>63.51611218765747</v>
      </c>
    </row>
    <row r="10" spans="1:26" x14ac:dyDescent="0.2">
      <c r="A10" s="17">
        <v>2</v>
      </c>
      <c r="B10" s="22" t="s">
        <v>18</v>
      </c>
      <c r="C10" s="63">
        <v>0.14759757607116336</v>
      </c>
      <c r="D10" s="33">
        <f t="shared" ref="D10:D20" si="1">D9+C10</f>
        <v>0.3006873535669165</v>
      </c>
      <c r="E10" s="48">
        <v>0.13260809842787993</v>
      </c>
      <c r="F10" s="33">
        <f t="shared" ref="F10:F20" si="2">F9+E10</f>
        <v>0.27101679450830196</v>
      </c>
      <c r="G10" s="18">
        <v>28</v>
      </c>
      <c r="H10" s="45">
        <f t="shared" ref="H10:H20" si="3">$C$5*E10</f>
        <v>185.65133779903189</v>
      </c>
      <c r="I10" s="45">
        <f>I9+H10</f>
        <v>379.42351231162269</v>
      </c>
      <c r="J10" s="45">
        <f t="shared" ref="J10:J20" si="4">$D$5*C10</f>
        <v>21.318993887718836</v>
      </c>
      <c r="K10" s="23">
        <f>K9+J10</f>
        <v>43.43128134920542</v>
      </c>
      <c r="L10" s="24">
        <f t="shared" si="0"/>
        <v>6.6304049213939962</v>
      </c>
      <c r="M10" s="25">
        <f t="shared" ref="M10:M20" si="5">J10/G10</f>
        <v>0.76139263884710129</v>
      </c>
      <c r="N10" s="36">
        <f t="shared" ref="N10:N20" si="6">J10*10^9/($M$3*$M$2*H10)</f>
        <v>27.772579272632179</v>
      </c>
      <c r="O10" s="36">
        <f t="shared" ref="O10:O20" si="7">M10*10^9*2.7777777778*10^(-7)</f>
        <v>211.49795523699788</v>
      </c>
      <c r="P10" s="36"/>
      <c r="Q10" s="72" t="s">
        <v>59</v>
      </c>
      <c r="R10" s="67">
        <f t="shared" ref="R10:R20" si="8">C10*100</f>
        <v>14.759757607116336</v>
      </c>
      <c r="S10" s="42">
        <v>14.233896185115697</v>
      </c>
      <c r="T10" s="42">
        <v>14.149710658950907</v>
      </c>
      <c r="U10" s="101">
        <f t="shared" ref="U10:U20" si="9">S10/R10*100</f>
        <v>96.437194729084851</v>
      </c>
      <c r="V10" s="70">
        <f t="shared" ref="V10:V20" si="10">T10/R10*100</f>
        <v>95.866822718881934</v>
      </c>
      <c r="W10" s="67">
        <f t="shared" ref="W10:W20" si="11">E10*100</f>
        <v>13.260809842787994</v>
      </c>
      <c r="X10" s="42">
        <v>13.498531718894565</v>
      </c>
      <c r="Y10" s="42">
        <v>16.387720397386556</v>
      </c>
      <c r="Z10" s="70">
        <f t="shared" ref="Z10:Z20" si="12">X10/W10*100</f>
        <v>101.79266484419018</v>
      </c>
    </row>
    <row r="11" spans="1:26" x14ac:dyDescent="0.2">
      <c r="A11" s="17">
        <v>3</v>
      </c>
      <c r="B11" s="22" t="s">
        <v>19</v>
      </c>
      <c r="C11" s="63">
        <v>0.12770628326462632</v>
      </c>
      <c r="D11" s="33">
        <f t="shared" si="1"/>
        <v>0.42839363683154286</v>
      </c>
      <c r="E11" s="48">
        <v>0.12268742526020071</v>
      </c>
      <c r="F11" s="33">
        <f t="shared" si="2"/>
        <v>0.39370421976850267</v>
      </c>
      <c r="G11" s="18">
        <v>31</v>
      </c>
      <c r="H11" s="45">
        <f t="shared" si="3"/>
        <v>171.76239536428099</v>
      </c>
      <c r="I11" s="45">
        <f t="shared" ref="I11:I20" si="13">I10+H11</f>
        <v>551.18590767590365</v>
      </c>
      <c r="J11" s="45">
        <f t="shared" si="4"/>
        <v>18.445895554742627</v>
      </c>
      <c r="K11" s="23">
        <f t="shared" ref="K11:K20" si="14">K10+J11</f>
        <v>61.877176903948047</v>
      </c>
      <c r="L11" s="24">
        <f t="shared" si="0"/>
        <v>5.5407224311058387</v>
      </c>
      <c r="M11" s="25">
        <f t="shared" si="5"/>
        <v>0.59502888886266536</v>
      </c>
      <c r="N11" s="36">
        <f t="shared" si="6"/>
        <v>25.972828643119687</v>
      </c>
      <c r="O11" s="36">
        <f t="shared" si="7"/>
        <v>165.28580246317378</v>
      </c>
      <c r="P11" s="36"/>
      <c r="Q11" s="72" t="s">
        <v>60</v>
      </c>
      <c r="R11" s="67">
        <f t="shared" si="8"/>
        <v>12.770628326462633</v>
      </c>
      <c r="S11" s="42">
        <v>12.707942464040025</v>
      </c>
      <c r="T11" s="42">
        <v>12.24565988426358</v>
      </c>
      <c r="U11" s="101">
        <f t="shared" si="9"/>
        <v>99.509140342823116</v>
      </c>
      <c r="V11" s="70">
        <f t="shared" si="10"/>
        <v>95.889251266429525</v>
      </c>
      <c r="W11" s="67">
        <f t="shared" si="11"/>
        <v>12.268742526020072</v>
      </c>
      <c r="X11" s="42">
        <v>13.690816203387101</v>
      </c>
      <c r="Y11" s="42">
        <v>13.526427032199878</v>
      </c>
      <c r="Z11" s="70">
        <f t="shared" si="12"/>
        <v>111.59103041204943</v>
      </c>
    </row>
    <row r="12" spans="1:26" x14ac:dyDescent="0.2">
      <c r="A12" s="17">
        <v>4</v>
      </c>
      <c r="B12" s="22" t="s">
        <v>20</v>
      </c>
      <c r="C12" s="63">
        <v>8.3037431953417992E-2</v>
      </c>
      <c r="D12" s="33">
        <f t="shared" si="1"/>
        <v>0.51143106878496081</v>
      </c>
      <c r="E12" s="48">
        <v>8.4104704494210841E-2</v>
      </c>
      <c r="F12" s="33">
        <f t="shared" si="2"/>
        <v>0.47780892426271349</v>
      </c>
      <c r="G12" s="18">
        <v>30</v>
      </c>
      <c r="H12" s="45">
        <f t="shared" si="3"/>
        <v>117.74658629189518</v>
      </c>
      <c r="I12" s="45">
        <f t="shared" si="13"/>
        <v>668.93249396779879</v>
      </c>
      <c r="J12" s="45">
        <f t="shared" si="4"/>
        <v>11.993926671351694</v>
      </c>
      <c r="K12" s="23">
        <f t="shared" si="14"/>
        <v>73.871103575299742</v>
      </c>
      <c r="L12" s="24">
        <f t="shared" si="0"/>
        <v>3.9248862097298396</v>
      </c>
      <c r="M12" s="25">
        <f t="shared" si="5"/>
        <v>0.39979755571172315</v>
      </c>
      <c r="N12" s="36">
        <f t="shared" si="6"/>
        <v>24.635458951971149</v>
      </c>
      <c r="O12" s="36">
        <f t="shared" si="7"/>
        <v>111.0548765874782</v>
      </c>
      <c r="P12" s="36"/>
      <c r="Q12" s="72" t="s">
        <v>61</v>
      </c>
      <c r="R12" s="67">
        <f t="shared" si="8"/>
        <v>8.3037431953417986</v>
      </c>
      <c r="S12" s="42">
        <v>9.8186366479049401</v>
      </c>
      <c r="T12" s="42">
        <v>10.266940451745379</v>
      </c>
      <c r="U12" s="101">
        <f t="shared" si="9"/>
        <v>118.24350075533359</v>
      </c>
      <c r="V12" s="70">
        <f t="shared" si="10"/>
        <v>123.6423166061408</v>
      </c>
      <c r="W12" s="67">
        <f t="shared" si="11"/>
        <v>8.4104704494210836</v>
      </c>
      <c r="X12" s="42">
        <v>10.861257492256325</v>
      </c>
      <c r="Y12" s="42">
        <v>12.978402605181447</v>
      </c>
      <c r="Z12" s="70">
        <f t="shared" si="12"/>
        <v>129.13971409297247</v>
      </c>
    </row>
    <row r="13" spans="1:26" x14ac:dyDescent="0.2">
      <c r="A13" s="17">
        <v>5</v>
      </c>
      <c r="B13" s="22" t="s">
        <v>21</v>
      </c>
      <c r="C13" s="63">
        <v>4.8709197533253923E-2</v>
      </c>
      <c r="D13" s="33">
        <f t="shared" si="1"/>
        <v>0.56014026631821467</v>
      </c>
      <c r="E13" s="48">
        <v>5.5458020195693632E-2</v>
      </c>
      <c r="F13" s="33">
        <f t="shared" si="2"/>
        <v>0.53326694445840717</v>
      </c>
      <c r="G13" s="18">
        <v>31</v>
      </c>
      <c r="H13" s="45">
        <f t="shared" si="3"/>
        <v>77.64122827397108</v>
      </c>
      <c r="I13" s="45">
        <f t="shared" si="13"/>
        <v>746.57372224176993</v>
      </c>
      <c r="J13" s="45">
        <f t="shared" si="4"/>
        <v>7.0355564917031961</v>
      </c>
      <c r="K13" s="23">
        <f t="shared" si="14"/>
        <v>80.906660067002932</v>
      </c>
      <c r="L13" s="24">
        <f t="shared" si="0"/>
        <v>2.5045557507732608</v>
      </c>
      <c r="M13" s="25">
        <f t="shared" si="5"/>
        <v>0.22695343521623212</v>
      </c>
      <c r="N13" s="36">
        <f t="shared" si="6"/>
        <v>21.915614392273245</v>
      </c>
      <c r="O13" s="36">
        <f t="shared" si="7"/>
        <v>63.042620893902146</v>
      </c>
      <c r="P13" s="36"/>
      <c r="Q13" s="109" t="s">
        <v>21</v>
      </c>
      <c r="R13" s="110">
        <f t="shared" si="8"/>
        <v>4.8709197533253921</v>
      </c>
      <c r="S13" s="110">
        <v>5.828642901813633</v>
      </c>
      <c r="T13" s="110">
        <v>8.1388837035654298</v>
      </c>
      <c r="U13" s="111">
        <f t="shared" si="9"/>
        <v>119.66205967229084</v>
      </c>
      <c r="V13" s="112">
        <f t="shared" si="10"/>
        <v>167.09131161540876</v>
      </c>
      <c r="W13" s="110">
        <f t="shared" si="11"/>
        <v>5.5458020195693631</v>
      </c>
      <c r="X13" s="110">
        <v>6.8506375960416754</v>
      </c>
      <c r="Y13" s="110">
        <v>10.073046974505848</v>
      </c>
      <c r="Z13" s="112">
        <f t="shared" si="12"/>
        <v>123.528347601807</v>
      </c>
    </row>
    <row r="14" spans="1:26" x14ac:dyDescent="0.2">
      <c r="A14" s="17">
        <v>6</v>
      </c>
      <c r="B14" s="22" t="s">
        <v>22</v>
      </c>
      <c r="C14" s="63">
        <v>3.2437781357539074E-2</v>
      </c>
      <c r="D14" s="33">
        <f t="shared" si="1"/>
        <v>0.59257804767575373</v>
      </c>
      <c r="E14" s="48">
        <v>4.2009886015809482E-2</v>
      </c>
      <c r="F14" s="33">
        <f t="shared" si="2"/>
        <v>0.57527683047421663</v>
      </c>
      <c r="G14" s="18">
        <v>30</v>
      </c>
      <c r="H14" s="45">
        <f t="shared" si="3"/>
        <v>58.813840422133275</v>
      </c>
      <c r="I14" s="45">
        <f t="shared" si="13"/>
        <v>805.38756266390317</v>
      </c>
      <c r="J14" s="45">
        <f t="shared" si="4"/>
        <v>4.6853131392829441</v>
      </c>
      <c r="K14" s="23">
        <f t="shared" si="14"/>
        <v>85.591973206285871</v>
      </c>
      <c r="L14" s="24">
        <f t="shared" si="0"/>
        <v>1.9604613474044426</v>
      </c>
      <c r="M14" s="25">
        <f t="shared" si="5"/>
        <v>0.1561771046427648</v>
      </c>
      <c r="N14" s="36">
        <f t="shared" si="6"/>
        <v>19.266670768161209</v>
      </c>
      <c r="O14" s="36">
        <f t="shared" si="7"/>
        <v>43.382529067781725</v>
      </c>
      <c r="P14" s="36"/>
      <c r="Q14" s="109" t="s">
        <v>62</v>
      </c>
      <c r="R14" s="110">
        <f t="shared" si="8"/>
        <v>3.2437781357539075</v>
      </c>
      <c r="S14" s="110">
        <v>3.089430894308943</v>
      </c>
      <c r="T14" s="110">
        <v>2.4267313795034533</v>
      </c>
      <c r="U14" s="111">
        <f t="shared" si="9"/>
        <v>95.241744811591701</v>
      </c>
      <c r="V14" s="112">
        <f t="shared" si="10"/>
        <v>74.811879171244271</v>
      </c>
      <c r="W14" s="110">
        <f t="shared" si="11"/>
        <v>4.2009886015809483</v>
      </c>
      <c r="X14" s="110">
        <v>5.6655537229977071</v>
      </c>
      <c r="Y14" s="110">
        <v>2.1976054912598366</v>
      </c>
      <c r="Z14" s="112">
        <f t="shared" si="12"/>
        <v>134.86239217277577</v>
      </c>
    </row>
    <row r="15" spans="1:26" x14ac:dyDescent="0.2">
      <c r="A15" s="17">
        <v>7</v>
      </c>
      <c r="B15" s="22" t="s">
        <v>23</v>
      </c>
      <c r="C15" s="63">
        <v>2.4805580956897704E-2</v>
      </c>
      <c r="D15" s="33">
        <f t="shared" si="1"/>
        <v>0.61738362863265139</v>
      </c>
      <c r="E15" s="48">
        <v>3.8051331337847473E-2</v>
      </c>
      <c r="F15" s="33">
        <f t="shared" si="2"/>
        <v>0.61332816181206407</v>
      </c>
      <c r="G15" s="18">
        <v>31</v>
      </c>
      <c r="H15" s="45">
        <f t="shared" si="3"/>
        <v>53.271863872986465</v>
      </c>
      <c r="I15" s="45">
        <f t="shared" si="13"/>
        <v>858.65942653688967</v>
      </c>
      <c r="J15" s="45">
        <f t="shared" si="4"/>
        <v>3.5829181134143044</v>
      </c>
      <c r="K15" s="23">
        <f t="shared" si="14"/>
        <v>89.17489131970018</v>
      </c>
      <c r="L15" s="24">
        <f t="shared" si="0"/>
        <v>1.7184472217092408</v>
      </c>
      <c r="M15" s="25">
        <f t="shared" si="5"/>
        <v>0.11557800365852595</v>
      </c>
      <c r="N15" s="36">
        <f t="shared" si="6"/>
        <v>16.266217818011945</v>
      </c>
      <c r="O15" s="36">
        <f t="shared" si="7"/>
        <v>32.105001016514052</v>
      </c>
      <c r="P15" s="36"/>
      <c r="Q15" s="109" t="s">
        <v>63</v>
      </c>
      <c r="R15" s="110">
        <f t="shared" si="8"/>
        <v>2.4805580956897706</v>
      </c>
      <c r="S15" s="110">
        <v>1.0131332082551596</v>
      </c>
      <c r="T15" s="110">
        <v>0.6346835915624417</v>
      </c>
      <c r="U15" s="111">
        <f t="shared" si="9"/>
        <v>40.842954253544178</v>
      </c>
      <c r="V15" s="112">
        <f t="shared" si="10"/>
        <v>25.586322395160625</v>
      </c>
      <c r="W15" s="110">
        <f t="shared" si="11"/>
        <v>3.8051331337847474</v>
      </c>
      <c r="X15" s="110">
        <v>1.0869302868176514</v>
      </c>
      <c r="Y15" s="110">
        <v>0.23683467700293978</v>
      </c>
      <c r="Z15" s="112">
        <f t="shared" si="12"/>
        <v>28.564842506221176</v>
      </c>
    </row>
    <row r="16" spans="1:26" x14ac:dyDescent="0.2">
      <c r="A16" s="17">
        <v>8</v>
      </c>
      <c r="B16" s="22" t="s">
        <v>24</v>
      </c>
      <c r="C16" s="63">
        <v>2.465251993229723E-2</v>
      </c>
      <c r="D16" s="33">
        <f t="shared" si="1"/>
        <v>0.64203614856494862</v>
      </c>
      <c r="E16" s="48">
        <v>3.7763350626360659E-2</v>
      </c>
      <c r="F16" s="33">
        <f t="shared" si="2"/>
        <v>0.65109151243842467</v>
      </c>
      <c r="G16" s="18">
        <v>31</v>
      </c>
      <c r="H16" s="45">
        <f t="shared" si="3"/>
        <v>52.868690876904921</v>
      </c>
      <c r="I16" s="45">
        <f t="shared" si="13"/>
        <v>911.52811741379458</v>
      </c>
      <c r="J16" s="45">
        <f t="shared" si="4"/>
        <v>3.5608099790210117</v>
      </c>
      <c r="K16" s="23">
        <f t="shared" si="14"/>
        <v>92.735701298721196</v>
      </c>
      <c r="L16" s="24">
        <f t="shared" si="0"/>
        <v>1.7054416411904814</v>
      </c>
      <c r="M16" s="25">
        <f t="shared" si="5"/>
        <v>0.11486483803293586</v>
      </c>
      <c r="N16" s="36">
        <f t="shared" si="6"/>
        <v>16.289127955663602</v>
      </c>
      <c r="O16" s="36">
        <f t="shared" si="7"/>
        <v>31.906899453848546</v>
      </c>
      <c r="P16" s="36"/>
      <c r="Q16" s="109" t="s">
        <v>64</v>
      </c>
      <c r="R16" s="110">
        <f t="shared" si="8"/>
        <v>2.4652519932297232</v>
      </c>
      <c r="S16" s="110">
        <v>1.6010006253908693</v>
      </c>
      <c r="T16" s="110">
        <v>0.91469105842822473</v>
      </c>
      <c r="U16" s="111">
        <f t="shared" si="9"/>
        <v>64.942676439879904</v>
      </c>
      <c r="V16" s="112">
        <f t="shared" si="10"/>
        <v>37.10334931034329</v>
      </c>
      <c r="W16" s="110">
        <f t="shared" si="11"/>
        <v>3.7763350626360657</v>
      </c>
      <c r="X16" s="110">
        <v>1.1537069069552275</v>
      </c>
      <c r="Y16" s="110">
        <v>0.34699034072523738</v>
      </c>
      <c r="Z16" s="112">
        <f t="shared" si="12"/>
        <v>30.55096774569267</v>
      </c>
    </row>
    <row r="17" spans="1:26" x14ac:dyDescent="0.2">
      <c r="A17" s="17">
        <v>9</v>
      </c>
      <c r="B17" s="22" t="s">
        <v>25</v>
      </c>
      <c r="C17" s="63">
        <v>4.071343569673945E-2</v>
      </c>
      <c r="D17" s="33">
        <f t="shared" si="1"/>
        <v>0.68274958426168808</v>
      </c>
      <c r="E17" s="48">
        <v>4.7649462950016236E-2</v>
      </c>
      <c r="F17" s="33">
        <f t="shared" si="2"/>
        <v>0.69874097538844093</v>
      </c>
      <c r="G17" s="18">
        <v>30</v>
      </c>
      <c r="H17" s="45">
        <f t="shared" si="3"/>
        <v>66.709248130022729</v>
      </c>
      <c r="I17" s="45">
        <f t="shared" si="13"/>
        <v>978.2373655438173</v>
      </c>
      <c r="J17" s="45">
        <f t="shared" si="4"/>
        <v>5.8806486520370465</v>
      </c>
      <c r="K17" s="23">
        <f t="shared" si="14"/>
        <v>98.616349950758249</v>
      </c>
      <c r="L17" s="24">
        <f t="shared" si="0"/>
        <v>2.223641604334091</v>
      </c>
      <c r="M17" s="25">
        <f t="shared" si="5"/>
        <v>0.19602162173456822</v>
      </c>
      <c r="N17" s="36">
        <f t="shared" si="6"/>
        <v>21.319979358874544</v>
      </c>
      <c r="O17" s="36">
        <f t="shared" si="7"/>
        <v>54.450450482260102</v>
      </c>
      <c r="P17" s="36"/>
      <c r="Q17" s="109" t="s">
        <v>65</v>
      </c>
      <c r="R17" s="110">
        <f t="shared" si="8"/>
        <v>4.0713435696739451</v>
      </c>
      <c r="S17" s="110">
        <v>3.4646654158849279</v>
      </c>
      <c r="T17" s="110">
        <v>2.2587268993839835</v>
      </c>
      <c r="U17" s="111">
        <f t="shared" si="9"/>
        <v>85.098821963639807</v>
      </c>
      <c r="V17" s="112">
        <f t="shared" si="10"/>
        <v>55.478661054509693</v>
      </c>
      <c r="W17" s="110">
        <f t="shared" si="11"/>
        <v>4.7649462950016233</v>
      </c>
      <c r="X17" s="110">
        <v>1.968703487670461</v>
      </c>
      <c r="Y17" s="110">
        <v>1.7597367279637035</v>
      </c>
      <c r="Z17" s="112">
        <f t="shared" si="12"/>
        <v>41.316383559991209</v>
      </c>
    </row>
    <row r="18" spans="1:26" x14ac:dyDescent="0.2">
      <c r="A18" s="17">
        <v>10</v>
      </c>
      <c r="B18" s="22" t="s">
        <v>26</v>
      </c>
      <c r="C18" s="63">
        <v>7.4670206615118265E-2</v>
      </c>
      <c r="D18" s="33">
        <f t="shared" si="1"/>
        <v>0.75741979087680633</v>
      </c>
      <c r="E18" s="48">
        <v>7.1655132156798182E-2</v>
      </c>
      <c r="F18" s="33">
        <f t="shared" si="2"/>
        <v>0.77039610754523913</v>
      </c>
      <c r="G18" s="18">
        <v>31</v>
      </c>
      <c r="H18" s="45">
        <f t="shared" si="3"/>
        <v>100.31718501951745</v>
      </c>
      <c r="I18" s="45">
        <f t="shared" si="13"/>
        <v>1078.5545505633347</v>
      </c>
      <c r="J18" s="45">
        <f t="shared" si="4"/>
        <v>10.785364643487682</v>
      </c>
      <c r="K18" s="23">
        <f t="shared" si="14"/>
        <v>109.40171459424593</v>
      </c>
      <c r="L18" s="24">
        <f t="shared" si="0"/>
        <v>3.236038226436047</v>
      </c>
      <c r="M18" s="25">
        <f t="shared" si="5"/>
        <v>0.34791498849960267</v>
      </c>
      <c r="N18" s="36">
        <f t="shared" si="6"/>
        <v>26.002020051995814</v>
      </c>
      <c r="O18" s="36">
        <f t="shared" si="7"/>
        <v>96.643052361773883</v>
      </c>
      <c r="P18" s="36"/>
      <c r="Q18" s="109" t="s">
        <v>66</v>
      </c>
      <c r="R18" s="110">
        <f t="shared" si="8"/>
        <v>7.4670206615118264</v>
      </c>
      <c r="S18" s="110">
        <v>6.4665415884928077</v>
      </c>
      <c r="T18" s="110">
        <v>8.2135523613963048</v>
      </c>
      <c r="U18" s="111">
        <f t="shared" si="9"/>
        <v>86.601361930389317</v>
      </c>
      <c r="V18" s="112">
        <f t="shared" si="10"/>
        <v>109.99771841709799</v>
      </c>
      <c r="W18" s="110">
        <f t="shared" si="11"/>
        <v>7.1655132156798178</v>
      </c>
      <c r="X18" s="110">
        <v>7.4886359065127319</v>
      </c>
      <c r="Y18" s="110">
        <v>6.6403211037597512</v>
      </c>
      <c r="Z18" s="112">
        <f t="shared" si="12"/>
        <v>104.50941448444817</v>
      </c>
    </row>
    <row r="19" spans="1:26" x14ac:dyDescent="0.2">
      <c r="A19" s="17">
        <v>11</v>
      </c>
      <c r="B19" s="22" t="s">
        <v>27</v>
      </c>
      <c r="C19" s="63">
        <v>0.10543135551706642</v>
      </c>
      <c r="D19" s="33">
        <f t="shared" si="1"/>
        <v>0.86285114639387273</v>
      </c>
      <c r="E19" s="48">
        <v>0.10212424950697276</v>
      </c>
      <c r="F19" s="33">
        <f t="shared" si="2"/>
        <v>0.87252035705221187</v>
      </c>
      <c r="G19" s="18">
        <v>30</v>
      </c>
      <c r="H19" s="45">
        <f t="shared" si="3"/>
        <v>142.97394930976185</v>
      </c>
      <c r="I19" s="45">
        <f t="shared" si="13"/>
        <v>1221.5284998730965</v>
      </c>
      <c r="J19" s="45">
        <f t="shared" si="4"/>
        <v>15.228504990885074</v>
      </c>
      <c r="K19" s="23">
        <f t="shared" si="14"/>
        <v>124.630219585131</v>
      </c>
      <c r="L19" s="24">
        <f t="shared" si="0"/>
        <v>4.7657983103253949</v>
      </c>
      <c r="M19" s="25">
        <f t="shared" si="5"/>
        <v>0.50761683302950245</v>
      </c>
      <c r="N19" s="36">
        <f t="shared" si="6"/>
        <v>25.76012400894956</v>
      </c>
      <c r="O19" s="36">
        <f t="shared" si="7"/>
        <v>141.0046758426565</v>
      </c>
      <c r="P19" s="36"/>
      <c r="Q19" s="72" t="s">
        <v>67</v>
      </c>
      <c r="R19" s="67">
        <f t="shared" si="8"/>
        <v>10.543135551706643</v>
      </c>
      <c r="S19" s="42">
        <v>10.331457160725453</v>
      </c>
      <c r="T19" s="42">
        <v>9.6322568601829381</v>
      </c>
      <c r="U19" s="101">
        <f t="shared" si="9"/>
        <v>97.992263402637136</v>
      </c>
      <c r="V19" s="70">
        <f t="shared" si="10"/>
        <v>91.360457360559508</v>
      </c>
      <c r="W19" s="67">
        <f t="shared" si="11"/>
        <v>10.212424950697276</v>
      </c>
      <c r="X19" s="42">
        <v>12.887887686552155</v>
      </c>
      <c r="Y19" s="42">
        <v>8.9639171354019638</v>
      </c>
      <c r="Z19" s="70">
        <f t="shared" si="12"/>
        <v>126.19811405000539</v>
      </c>
    </row>
    <row r="20" spans="1:26" ht="13.5" thickBot="1" x14ac:dyDescent="0.25">
      <c r="A20" s="26">
        <v>12</v>
      </c>
      <c r="B20" s="27" t="s">
        <v>28</v>
      </c>
      <c r="C20" s="64">
        <v>0.13714885360612777</v>
      </c>
      <c r="D20" s="34">
        <f t="shared" si="1"/>
        <v>1.0000000000000004</v>
      </c>
      <c r="E20" s="49">
        <v>0.1274796429477878</v>
      </c>
      <c r="F20" s="34">
        <f t="shared" si="2"/>
        <v>0.99999999999999967</v>
      </c>
      <c r="G20" s="28">
        <v>31</v>
      </c>
      <c r="H20" s="46">
        <f t="shared" si="3"/>
        <v>178.47150012690292</v>
      </c>
      <c r="I20" s="46">
        <f t="shared" si="13"/>
        <v>1399.9999999999995</v>
      </c>
      <c r="J20" s="46">
        <f t="shared" si="4"/>
        <v>19.809780414869095</v>
      </c>
      <c r="K20" s="29">
        <f t="shared" si="14"/>
        <v>144.44000000000011</v>
      </c>
      <c r="L20" s="30">
        <f t="shared" si="0"/>
        <v>5.7571451653839656</v>
      </c>
      <c r="M20" s="31">
        <f t="shared" si="5"/>
        <v>0.63902517467319664</v>
      </c>
      <c r="N20" s="36">
        <f t="shared" si="6"/>
        <v>26.844689221851961</v>
      </c>
      <c r="O20" s="36">
        <f t="shared" si="7"/>
        <v>177.50699296619689</v>
      </c>
      <c r="P20" s="36"/>
      <c r="Q20" s="72" t="s">
        <v>68</v>
      </c>
      <c r="R20" s="77">
        <f t="shared" si="8"/>
        <v>13.714885360612778</v>
      </c>
      <c r="S20" s="78">
        <v>15.03439649781113</v>
      </c>
      <c r="T20" s="78">
        <v>14.859062908344223</v>
      </c>
      <c r="U20" s="102">
        <f t="shared" si="9"/>
        <v>109.62101470412435</v>
      </c>
      <c r="V20" s="79">
        <f t="shared" si="10"/>
        <v>108.3425965120887</v>
      </c>
      <c r="W20" s="80">
        <f t="shared" si="11"/>
        <v>12.747964294778779</v>
      </c>
      <c r="X20" s="78">
        <v>16.056156723922925</v>
      </c>
      <c r="Y20" s="78">
        <v>9.5381035325544392</v>
      </c>
      <c r="Z20" s="79">
        <f t="shared" si="12"/>
        <v>125.9507506661208</v>
      </c>
    </row>
    <row r="21" spans="1:26" x14ac:dyDescent="0.2">
      <c r="W21" s="42"/>
      <c r="X21" s="42"/>
      <c r="Y21" s="42"/>
    </row>
    <row r="22" spans="1:26" x14ac:dyDescent="0.2">
      <c r="R22" s="65" t="s">
        <v>71</v>
      </c>
    </row>
    <row r="23" spans="1:26" x14ac:dyDescent="0.2">
      <c r="R23" s="3" t="s">
        <v>9</v>
      </c>
    </row>
    <row r="24" spans="1:26" x14ac:dyDescent="0.2">
      <c r="R24" s="82"/>
      <c r="S24" s="82"/>
      <c r="T24" s="82"/>
      <c r="U24" s="82"/>
      <c r="V24" s="82"/>
    </row>
    <row r="25" spans="1:26" x14ac:dyDescent="0.2">
      <c r="O25" s="42"/>
      <c r="P25" s="42"/>
    </row>
  </sheetData>
  <mergeCells count="7">
    <mergeCell ref="R6:U6"/>
    <mergeCell ref="W6:Z6"/>
    <mergeCell ref="A7:B7"/>
    <mergeCell ref="A1:M1"/>
    <mergeCell ref="H3:I3"/>
    <mergeCell ref="C3:D3"/>
    <mergeCell ref="F3:G3"/>
  </mergeCells>
  <phoneticPr fontId="0" type="noConversion"/>
  <pageMargins left="0.75" right="0.75" top="1" bottom="1" header="0" footer="0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Tekst!$A$1:$A$3</xm:f>
          </x14:formula1>
          <xm:sqref>R24</xm:sqref>
        </x14:dataValidation>
        <x14:dataValidation type="list" allowBlank="1" showInputMessage="1" showErrorMessage="1">
          <x14:formula1>
            <xm:f>Tekst!$B$1:$B$13</xm:f>
          </x14:formula1>
          <xm:sqref>S24:V24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workbookViewId="0">
      <selection activeCell="J3" sqref="J3"/>
    </sheetView>
  </sheetViews>
  <sheetFormatPr defaultRowHeight="12.75" x14ac:dyDescent="0.2"/>
  <cols>
    <col min="1" max="1" width="10.140625" bestFit="1" customWidth="1"/>
    <col min="2" max="2" width="9.7109375" bestFit="1" customWidth="1"/>
  </cols>
  <sheetData>
    <row r="2" spans="1:13" ht="15.75" x14ac:dyDescent="0.3">
      <c r="A2" t="s">
        <v>52</v>
      </c>
      <c r="B2" t="s">
        <v>17</v>
      </c>
      <c r="C2" s="44" t="s">
        <v>17</v>
      </c>
      <c r="D2" s="44" t="str">
        <f>"Den årlige omkostning er "&amp;TEXT(Beregner!L19,"#.##0")&amp;" kr. pr. år."</f>
        <v>Den årlige omkostning er 12.313 kr. pr. år.</v>
      </c>
      <c r="H2" s="51" t="s">
        <v>46</v>
      </c>
      <c r="J2" s="47">
        <v>103.75</v>
      </c>
      <c r="K2" s="44" t="s">
        <v>48</v>
      </c>
      <c r="L2" s="44" t="str">
        <f>Beregner!B6</f>
        <v>Forventet årsforbrug med nuværende forbrugsmønster</v>
      </c>
      <c r="M2" s="44" t="str">
        <f>Beregner!I6</f>
        <v>Forventet årsforbrug med forbedret afkøling (årsgennemsnit 30,0 ᵒC)</v>
      </c>
    </row>
    <row r="3" spans="1:13" ht="15.75" x14ac:dyDescent="0.3">
      <c r="A3" t="s">
        <v>51</v>
      </c>
      <c r="B3" t="s">
        <v>18</v>
      </c>
      <c r="C3" s="44" t="s">
        <v>18</v>
      </c>
      <c r="D3" s="44" t="str">
        <f>"Den årlige omkostning er "&amp;TEXT(Beregner!E19,"#.##0")&amp;" kr. pr. år."</f>
        <v>Den årlige omkostning er 16.244 kr. pr. år.</v>
      </c>
      <c r="H3" s="51" t="s">
        <v>47</v>
      </c>
      <c r="J3" s="47">
        <v>4.5</v>
      </c>
      <c r="K3" s="44" t="s">
        <v>49</v>
      </c>
    </row>
    <row r="4" spans="1:13" x14ac:dyDescent="0.2">
      <c r="B4" t="s">
        <v>19</v>
      </c>
      <c r="C4" s="44" t="s">
        <v>19</v>
      </c>
    </row>
    <row r="5" spans="1:13" x14ac:dyDescent="0.2">
      <c r="B5" t="s">
        <v>20</v>
      </c>
      <c r="C5" s="44" t="s">
        <v>20</v>
      </c>
    </row>
    <row r="6" spans="1:13" x14ac:dyDescent="0.2">
      <c r="B6" t="s">
        <v>21</v>
      </c>
      <c r="C6" s="44" t="s">
        <v>26</v>
      </c>
    </row>
    <row r="7" spans="1:13" x14ac:dyDescent="0.2">
      <c r="B7" t="s">
        <v>22</v>
      </c>
      <c r="C7" s="44" t="s">
        <v>27</v>
      </c>
    </row>
    <row r="8" spans="1:13" x14ac:dyDescent="0.2">
      <c r="B8" t="s">
        <v>23</v>
      </c>
      <c r="C8" s="44" t="s">
        <v>28</v>
      </c>
    </row>
    <row r="9" spans="1:13" x14ac:dyDescent="0.2">
      <c r="B9" t="s">
        <v>24</v>
      </c>
      <c r="C9" s="44"/>
    </row>
    <row r="10" spans="1:13" x14ac:dyDescent="0.2">
      <c r="B10" t="s">
        <v>25</v>
      </c>
      <c r="C10" s="44"/>
    </row>
    <row r="11" spans="1:13" x14ac:dyDescent="0.2">
      <c r="B11" t="s">
        <v>26</v>
      </c>
    </row>
    <row r="12" spans="1:13" x14ac:dyDescent="0.2">
      <c r="B12" t="s">
        <v>27</v>
      </c>
    </row>
    <row r="13" spans="1:13" x14ac:dyDescent="0.2">
      <c r="B1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Beregner</vt:lpstr>
      <vt:lpstr>Nøgefordeling</vt:lpstr>
      <vt:lpstr>Tekst</vt:lpstr>
    </vt:vector>
  </TitlesOfParts>
  <Company>Fjernvarme Fyn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Gitte Larsen</cp:lastModifiedBy>
  <cp:lastPrinted>2016-10-05T13:15:42Z</cp:lastPrinted>
  <dcterms:created xsi:type="dcterms:W3CDTF">2010-08-12T08:51:00Z</dcterms:created>
  <dcterms:modified xsi:type="dcterms:W3CDTF">2019-03-13T10:56:16Z</dcterms:modified>
</cp:coreProperties>
</file>