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Denne_projektmappe" defaultThemeVersion="124226"/>
  <mc:AlternateContent xmlns:mc="http://schemas.openxmlformats.org/markup-compatibility/2006">
    <mc:Choice Requires="x15">
      <x15ac:absPath xmlns:x15ac="http://schemas.microsoft.com/office/spreadsheetml/2010/11/ac" url="C:\Users\gl\Desktop\"/>
    </mc:Choice>
  </mc:AlternateContent>
  <bookViews>
    <workbookView xWindow="480" yWindow="312" windowWidth="13380" windowHeight="12060"/>
  </bookViews>
  <sheets>
    <sheet name="Inddata" sheetId="1" r:id="rId1"/>
    <sheet name="Energipriser og omkostninger" sheetId="2" r:id="rId2"/>
    <sheet name="Etablering" sheetId="3" r:id="rId3"/>
    <sheet name="Etablering_blindstik" sheetId="5" r:id="rId4"/>
    <sheet name="Finansiering" sheetId="6" r:id="rId5"/>
    <sheet name="Udtræk" sheetId="4" state="hidden" r:id="rId6"/>
  </sheets>
  <externalReferences>
    <externalReference r:id="rId7"/>
  </externalReferences>
  <definedNames>
    <definedName name="_xlnm.Print_Area" localSheetId="1">'Energipriser og omkostninger'!$A$1:$C$40</definedName>
    <definedName name="_xlnm.Print_Area" localSheetId="0">Inddata!$A$1:$C$47</definedName>
  </definedNames>
  <calcPr calcId="162913"/>
</workbook>
</file>

<file path=xl/calcChain.xml><?xml version="1.0" encoding="utf-8"?>
<calcChain xmlns="http://schemas.openxmlformats.org/spreadsheetml/2006/main">
  <c r="A24" i="5" l="1"/>
  <c r="B8" i="5"/>
  <c r="A2" i="5"/>
  <c r="B10" i="3" l="1"/>
  <c r="B17" i="5" s="1"/>
  <c r="B6" i="3" l="1"/>
  <c r="B16" i="5" s="1"/>
  <c r="B18" i="5" s="1"/>
  <c r="B24" i="1" l="1"/>
  <c r="B20" i="2" l="1"/>
  <c r="B31" i="2" l="1"/>
  <c r="B30" i="1" l="1"/>
  <c r="P49" i="1"/>
  <c r="M19" i="2"/>
  <c r="B18" i="1"/>
  <c r="C28" i="1"/>
  <c r="P44" i="1"/>
  <c r="R44" i="1" l="1"/>
  <c r="R49" i="1"/>
  <c r="B14" i="3"/>
  <c r="B7" i="3" l="1"/>
  <c r="B6" i="5" s="1"/>
  <c r="B12" i="5" l="1"/>
  <c r="B20" i="3"/>
  <c r="F9" i="4" s="1"/>
  <c r="G9" i="4" s="1"/>
  <c r="A31" i="3" l="1"/>
  <c r="A2" i="3" l="1"/>
  <c r="A2" i="2"/>
  <c r="B28" i="2" l="1"/>
  <c r="C20" i="2"/>
  <c r="B19" i="2" l="1"/>
  <c r="C19" i="2"/>
  <c r="M20" i="2"/>
  <c r="C18" i="2" s="1"/>
  <c r="B18" i="2"/>
  <c r="P46" i="1"/>
  <c r="B15" i="3"/>
  <c r="C22" i="2"/>
  <c r="B22" i="2"/>
  <c r="B21" i="3"/>
  <c r="A25" i="3" s="1"/>
  <c r="P48" i="1"/>
  <c r="R48" i="1" s="1"/>
  <c r="P47" i="1"/>
  <c r="P41" i="1"/>
  <c r="P42" i="1"/>
  <c r="P43" i="1"/>
  <c r="R43" i="1" s="1"/>
  <c r="B30" i="2"/>
  <c r="B8" i="3"/>
  <c r="B9" i="3"/>
  <c r="C21" i="2"/>
  <c r="B11" i="3" l="1"/>
  <c r="B7" i="5"/>
  <c r="B9" i="5" s="1"/>
  <c r="B13" i="5" s="1"/>
  <c r="B22" i="3"/>
  <c r="F7" i="4"/>
  <c r="G7" i="4" s="1"/>
  <c r="B21" i="2"/>
  <c r="B23" i="2" s="1"/>
  <c r="R47" i="1"/>
  <c r="R42" i="1"/>
  <c r="R46" i="1"/>
  <c r="C23" i="2"/>
  <c r="R41" i="1"/>
  <c r="B29" i="1" l="1"/>
  <c r="B33" i="1" l="1"/>
  <c r="B26" i="2" s="1"/>
  <c r="B17" i="3"/>
  <c r="B25" i="3" s="1"/>
  <c r="B24" i="3" l="1"/>
  <c r="C4" i="6" s="1"/>
  <c r="C6" i="6"/>
  <c r="B34" i="1"/>
  <c r="B27" i="2" s="1"/>
  <c r="B32" i="2" s="1"/>
  <c r="B35" i="2" s="1"/>
  <c r="B36" i="1" s="1"/>
  <c r="B37" i="1" s="1"/>
  <c r="K14" i="6" s="1"/>
  <c r="F5" i="4"/>
  <c r="G5" i="4" s="1"/>
  <c r="G11" i="4" s="1"/>
  <c r="C10" i="6" l="1"/>
  <c r="E10" i="6" s="1"/>
  <c r="C11" i="6"/>
  <c r="B18" i="6"/>
  <c r="E11" i="6" l="1"/>
  <c r="E12" i="6" s="1"/>
  <c r="E13" i="6" s="1"/>
  <c r="E9" i="6" s="1"/>
  <c r="E19" i="6" s="1"/>
  <c r="C12" i="6"/>
  <c r="C13" i="6" s="1"/>
  <c r="F18" i="6"/>
  <c r="E20" i="6" l="1"/>
  <c r="F20" i="6" s="1"/>
  <c r="E21" i="6"/>
  <c r="F21" i="6" s="1"/>
  <c r="E23" i="6"/>
  <c r="F23" i="6" s="1"/>
  <c r="E22" i="6"/>
  <c r="F22" i="6" s="1"/>
  <c r="C9" i="6"/>
  <c r="C19" i="6"/>
  <c r="D19" i="6" s="1"/>
  <c r="B19" i="6" s="1"/>
  <c r="C20" i="6" s="1"/>
  <c r="F19" i="6"/>
  <c r="D20" i="6" l="1"/>
  <c r="B20" i="6" s="1"/>
  <c r="C21" i="6" s="1"/>
  <c r="D21" i="6" s="1"/>
  <c r="B21" i="6" s="1"/>
  <c r="C22" i="6" s="1"/>
  <c r="D22" i="6" s="1"/>
  <c r="B22" i="6" s="1"/>
  <c r="C23" i="6" s="1"/>
  <c r="D23" i="6" s="1"/>
  <c r="B23" i="6" s="1"/>
  <c r="C24" i="6" l="1"/>
  <c r="E24" i="6"/>
  <c r="D24" i="6"/>
  <c r="B24" i="6" s="1"/>
  <c r="F24" i="6"/>
  <c r="C25" i="6" l="1"/>
  <c r="E25" i="6"/>
  <c r="F25" i="6" l="1"/>
  <c r="D25" i="6"/>
  <c r="B25" i="6" s="1"/>
  <c r="E26" i="6" l="1"/>
  <c r="C26" i="6"/>
  <c r="F26" i="6" l="1"/>
  <c r="D26" i="6"/>
  <c r="B26" i="6" s="1"/>
  <c r="C27" i="6" l="1"/>
  <c r="E27" i="6"/>
  <c r="F27" i="6" l="1"/>
  <c r="D27" i="6"/>
  <c r="B27" i="6" s="1"/>
  <c r="C28" i="6" l="1"/>
  <c r="E28" i="6"/>
  <c r="D28" i="6" l="1"/>
  <c r="B28" i="6" s="1"/>
  <c r="F28" i="6"/>
  <c r="C29" i="6" l="1"/>
  <c r="E29" i="6"/>
  <c r="F29" i="6" l="1"/>
  <c r="D29" i="6"/>
  <c r="B29" i="6" s="1"/>
  <c r="C30" i="6" l="1"/>
  <c r="E30" i="6"/>
  <c r="F30" i="6" l="1"/>
  <c r="D30" i="6"/>
  <c r="B30" i="6" s="1"/>
  <c r="E31" i="6" l="1"/>
  <c r="C31" i="6"/>
  <c r="D31" i="6" l="1"/>
  <c r="B31" i="6" s="1"/>
  <c r="F31" i="6"/>
  <c r="E32" i="6" l="1"/>
  <c r="C32" i="6"/>
  <c r="D32" i="6" l="1"/>
  <c r="B32" i="6" s="1"/>
  <c r="F32" i="6"/>
  <c r="C33" i="6" l="1"/>
  <c r="E33" i="6"/>
  <c r="F33" i="6" l="1"/>
  <c r="D33" i="6"/>
  <c r="B33" i="6" s="1"/>
  <c r="C34" i="6" l="1"/>
  <c r="E34" i="6"/>
  <c r="F34" i="6" l="1"/>
  <c r="D34" i="6"/>
  <c r="B34" i="6" s="1"/>
  <c r="E35" i="6" l="1"/>
  <c r="C35" i="6"/>
  <c r="F35" i="6" l="1"/>
  <c r="D35" i="6"/>
  <c r="B35" i="6" s="1"/>
  <c r="C36" i="6" l="1"/>
  <c r="E36" i="6"/>
  <c r="D36" i="6" l="1"/>
  <c r="B36" i="6" s="1"/>
  <c r="F36" i="6"/>
  <c r="C37" i="6" l="1"/>
  <c r="E37" i="6"/>
  <c r="D37" i="6" l="1"/>
  <c r="B37" i="6" s="1"/>
  <c r="F37" i="6"/>
  <c r="E38" i="6" l="1"/>
  <c r="C38" i="6"/>
  <c r="F38" i="6" l="1"/>
  <c r="D38" i="6"/>
  <c r="B38" i="6" s="1"/>
  <c r="E39" i="6" l="1"/>
  <c r="C39" i="6"/>
  <c r="D39" i="6" l="1"/>
  <c r="B39" i="6" s="1"/>
  <c r="F39" i="6"/>
  <c r="E40" i="6" l="1"/>
  <c r="C40" i="6"/>
  <c r="D40" i="6" l="1"/>
  <c r="B40" i="6" s="1"/>
  <c r="F40" i="6"/>
  <c r="C41" i="6" l="1"/>
  <c r="E41" i="6"/>
  <c r="F41" i="6" l="1"/>
  <c r="D41" i="6"/>
  <c r="B41" i="6" s="1"/>
  <c r="E42" i="6" l="1"/>
  <c r="C42" i="6"/>
  <c r="D42" i="6" l="1"/>
  <c r="B42" i="6" s="1"/>
  <c r="F42" i="6"/>
  <c r="C43" i="6" l="1"/>
  <c r="E43" i="6"/>
  <c r="F43" i="6" l="1"/>
  <c r="D43" i="6"/>
  <c r="B43" i="6" s="1"/>
  <c r="E44" i="6" l="1"/>
  <c r="C44" i="6"/>
  <c r="D44" i="6" l="1"/>
  <c r="B44" i="6" s="1"/>
  <c r="F44" i="6"/>
  <c r="C45" i="6" l="1"/>
  <c r="E45" i="6"/>
  <c r="F45" i="6" l="1"/>
  <c r="D45" i="6"/>
  <c r="B45" i="6" s="1"/>
  <c r="E46" i="6" l="1"/>
  <c r="C46" i="6"/>
  <c r="F46" i="6" l="1"/>
  <c r="D46" i="6"/>
  <c r="B46" i="6" s="1"/>
  <c r="E47" i="6" l="1"/>
  <c r="C47" i="6"/>
  <c r="D47" i="6" l="1"/>
  <c r="B47" i="6" s="1"/>
  <c r="F47" i="6"/>
  <c r="C48" i="6" l="1"/>
  <c r="E48" i="6"/>
  <c r="F48" i="6" l="1"/>
  <c r="D48" i="6"/>
  <c r="B48" i="6" s="1"/>
  <c r="C49" i="6" l="1"/>
  <c r="E49" i="6"/>
  <c r="D49" i="6" l="1"/>
  <c r="B49" i="6" s="1"/>
  <c r="F49" i="6"/>
  <c r="C50" i="6" l="1"/>
  <c r="E50" i="6"/>
  <c r="F50" i="6" l="1"/>
  <c r="D50" i="6"/>
  <c r="B50" i="6" s="1"/>
  <c r="E51" i="6" l="1"/>
  <c r="C51" i="6"/>
  <c r="F51" i="6" l="1"/>
  <c r="D51" i="6"/>
  <c r="B51" i="6" s="1"/>
  <c r="C52" i="6" l="1"/>
  <c r="E52" i="6"/>
  <c r="D52" i="6" l="1"/>
  <c r="B52" i="6" s="1"/>
  <c r="F52" i="6"/>
  <c r="C53" i="6" l="1"/>
  <c r="E53" i="6"/>
  <c r="D53" i="6" l="1"/>
  <c r="B53" i="6" s="1"/>
  <c r="F53" i="6"/>
  <c r="E54" i="6" l="1"/>
  <c r="C54" i="6"/>
  <c r="F54" i="6" l="1"/>
  <c r="D54" i="6"/>
  <c r="B54" i="6" s="1"/>
  <c r="E55" i="6" l="1"/>
  <c r="C55" i="6"/>
  <c r="D55" i="6" l="1"/>
  <c r="B55" i="6" s="1"/>
  <c r="F55" i="6"/>
  <c r="E56" i="6" l="1"/>
  <c r="C56" i="6"/>
  <c r="D56" i="6" l="1"/>
  <c r="B56" i="6" s="1"/>
  <c r="F56" i="6"/>
  <c r="C57" i="6" l="1"/>
  <c r="E57" i="6"/>
  <c r="F57" i="6" l="1"/>
  <c r="D57" i="6"/>
  <c r="B57" i="6" s="1"/>
  <c r="E58" i="6" l="1"/>
  <c r="C58" i="6"/>
  <c r="F58" i="6" l="1"/>
  <c r="D58" i="6"/>
  <c r="B58" i="6" s="1"/>
  <c r="E59" i="6" l="1"/>
  <c r="C59" i="6"/>
  <c r="F59" i="6" l="1"/>
  <c r="D59" i="6"/>
  <c r="B59" i="6" s="1"/>
  <c r="C60" i="6" l="1"/>
  <c r="E60" i="6"/>
  <c r="D60" i="6" l="1"/>
  <c r="B60" i="6" s="1"/>
  <c r="F60" i="6"/>
  <c r="C61" i="6" l="1"/>
  <c r="E61" i="6"/>
  <c r="F61" i="6" l="1"/>
  <c r="D61" i="6"/>
  <c r="B61" i="6" s="1"/>
  <c r="C62" i="6" l="1"/>
  <c r="E62" i="6"/>
  <c r="F62" i="6" l="1"/>
  <c r="D62" i="6"/>
  <c r="B62" i="6" s="1"/>
  <c r="E63" i="6" l="1"/>
  <c r="C63" i="6"/>
  <c r="D63" i="6" l="1"/>
  <c r="B63" i="6" s="1"/>
  <c r="F63" i="6"/>
  <c r="E64" i="6" l="1"/>
  <c r="C64" i="6"/>
  <c r="D64" i="6" l="1"/>
  <c r="B64" i="6" s="1"/>
  <c r="F64" i="6"/>
  <c r="C65" i="6" l="1"/>
  <c r="E65" i="6"/>
  <c r="D65" i="6" l="1"/>
  <c r="B65" i="6" s="1"/>
  <c r="F65" i="6"/>
  <c r="C66" i="6" l="1"/>
  <c r="E66" i="6"/>
  <c r="F66" i="6" l="1"/>
  <c r="D66" i="6"/>
  <c r="B66" i="6" s="1"/>
  <c r="E67" i="6" l="1"/>
  <c r="C67" i="6"/>
  <c r="F67" i="6" l="1"/>
  <c r="D67" i="6"/>
  <c r="B67" i="6" s="1"/>
  <c r="C68" i="6" l="1"/>
  <c r="E68" i="6"/>
  <c r="D68" i="6" l="1"/>
  <c r="B68" i="6" s="1"/>
  <c r="F68" i="6"/>
  <c r="C69" i="6" l="1"/>
  <c r="E69" i="6"/>
  <c r="D69" i="6" l="1"/>
  <c r="B69" i="6" s="1"/>
  <c r="F69" i="6"/>
  <c r="E70" i="6" l="1"/>
  <c r="C70" i="6"/>
  <c r="F70" i="6" l="1"/>
  <c r="D70" i="6"/>
  <c r="B70" i="6" s="1"/>
  <c r="E71" i="6" l="1"/>
  <c r="C71" i="6"/>
  <c r="D71" i="6" l="1"/>
  <c r="B71" i="6" s="1"/>
  <c r="F71" i="6"/>
  <c r="E72" i="6" l="1"/>
  <c r="C72" i="6"/>
  <c r="D72" i="6" l="1"/>
  <c r="B72" i="6" s="1"/>
  <c r="F72" i="6"/>
  <c r="C73" i="6" l="1"/>
  <c r="E73" i="6"/>
  <c r="F73" i="6" l="1"/>
  <c r="D73" i="6"/>
  <c r="B73" i="6" s="1"/>
  <c r="E74" i="6" l="1"/>
  <c r="C74" i="6"/>
  <c r="F74" i="6" l="1"/>
  <c r="D74" i="6"/>
  <c r="B74" i="6" s="1"/>
  <c r="E75" i="6" l="1"/>
  <c r="C75" i="6"/>
  <c r="D75" i="6" l="1"/>
  <c r="B75" i="6" s="1"/>
  <c r="F75" i="6"/>
  <c r="C76" i="6" l="1"/>
  <c r="E76" i="6"/>
  <c r="D76" i="6" l="1"/>
  <c r="B76" i="6" s="1"/>
  <c r="F76" i="6"/>
  <c r="C77" i="6" l="1"/>
  <c r="E77" i="6"/>
  <c r="F77" i="6" l="1"/>
  <c r="D77" i="6"/>
  <c r="B77" i="6" s="1"/>
  <c r="E78" i="6" l="1"/>
  <c r="C78" i="6"/>
  <c r="F78" i="6" l="1"/>
  <c r="E14" i="6" s="1"/>
  <c r="C14" i="6" s="1"/>
  <c r="D78" i="6"/>
  <c r="B78" i="6" s="1"/>
</calcChain>
</file>

<file path=xl/sharedStrings.xml><?xml version="1.0" encoding="utf-8"?>
<sst xmlns="http://schemas.openxmlformats.org/spreadsheetml/2006/main" count="266" uniqueCount="212">
  <si>
    <t>Oplysninger om ejendommen</t>
  </si>
  <si>
    <t>Nuværende varmeudgift</t>
  </si>
  <si>
    <t>Nuværende forbrug</t>
  </si>
  <si>
    <t>Længde af ny stikledning fra skel til hovedhaner (meter)</t>
  </si>
  <si>
    <t>Byggemodningsbidrag (Kr. inkl. moms)</t>
  </si>
  <si>
    <t>Stikledningsbidrag (Kr. inkl. moms)</t>
  </si>
  <si>
    <t>Afslutning af stik (Kr. inkl. moms)</t>
  </si>
  <si>
    <t>Eget VVS arbejde (Kr. inkl. moms)</t>
  </si>
  <si>
    <t>Oliepris (Kr./liter inkl. moms)</t>
  </si>
  <si>
    <t>Elpris (Kr./kWh inkl. moms)</t>
  </si>
  <si>
    <t>Elpris - el til opvarmning (Kr./kWh inkl. moms)</t>
  </si>
  <si>
    <t>Energipriser</t>
  </si>
  <si>
    <t>Service af kedel/fyr/skorsten</t>
  </si>
  <si>
    <t>El til fyr/cirkulationspumpe</t>
  </si>
  <si>
    <t>Afskrivning af fyr</t>
  </si>
  <si>
    <t>Køb af brændsel</t>
  </si>
  <si>
    <t>Årligt abonnement/målergebyr</t>
  </si>
  <si>
    <t>Køb af el til fyr/cirkulationspumpe</t>
  </si>
  <si>
    <t>Varmeudgift fjernvarme</t>
  </si>
  <si>
    <t>Årlig varmeudgift, nuværende i alt (Kr. inkl. moms)</t>
  </si>
  <si>
    <t>Årlig varmeudgift, fjernvarme i alt (Kr. inkl. moms)</t>
  </si>
  <si>
    <t>Årlig besparelse ved konvertering til fjernvarme (Kr. inkl. moms)</t>
  </si>
  <si>
    <t>Simpel tilbagebetalingstid (år)</t>
  </si>
  <si>
    <t>Målerbidrag, Fjernvarme Fyn (Kr. inkl. moms)</t>
  </si>
  <si>
    <t>Naturgas</t>
  </si>
  <si>
    <t>Olie</t>
  </si>
  <si>
    <t>El</t>
  </si>
  <si>
    <t>Ja</t>
  </si>
  <si>
    <t>Opvarmning</t>
  </si>
  <si>
    <t>Kondenserende</t>
  </si>
  <si>
    <t>Cirkulationapumpe</t>
  </si>
  <si>
    <t>Nej</t>
  </si>
  <si>
    <t>kr.</t>
  </si>
  <si>
    <t>energi</t>
  </si>
  <si>
    <t>Energiomregning</t>
  </si>
  <si>
    <t>Opvarmet kælderareal</t>
  </si>
  <si>
    <t>Gas</t>
  </si>
  <si>
    <t>energi/enhed</t>
  </si>
  <si>
    <t>GJ</t>
  </si>
  <si>
    <t>kWh/år</t>
  </si>
  <si>
    <t>%</t>
  </si>
  <si>
    <t xml:space="preserve">Årsvirkningsgrad for kedel/fyr: </t>
  </si>
  <si>
    <t>Årgang af oliekedel/fyr:</t>
  </si>
  <si>
    <t>Nuværende forbrug indtastes i:</t>
  </si>
  <si>
    <t xml:space="preserve">Nuværende forbrug: </t>
  </si>
  <si>
    <t>Investering i eget varmeanlæg</t>
  </si>
  <si>
    <t>Vejledning:</t>
  </si>
  <si>
    <t>Alle grå felter skal udfyldes, og der skal tages stilling til alle rullemenuerne.</t>
  </si>
  <si>
    <r>
      <t>m</t>
    </r>
    <r>
      <rPr>
        <vertAlign val="superscript"/>
        <sz val="11"/>
        <color indexed="8"/>
        <rFont val="Calibri"/>
        <family val="2"/>
      </rPr>
      <t>2</t>
    </r>
  </si>
  <si>
    <t xml:space="preserve">Cirkulationspumpe er A-mærket model </t>
  </si>
  <si>
    <t>Beregningen er en teoretisk overslagsberegning, og må derfor kun anses som</t>
  </si>
  <si>
    <t xml:space="preserve">retningsgivende. </t>
  </si>
  <si>
    <t>Forudsætninger for beregning:</t>
  </si>
  <si>
    <t>Energibidrag [kr./år]</t>
  </si>
  <si>
    <t>Service af fjernvarmeinstallation [kr./år]</t>
  </si>
  <si>
    <t>Målerbidrag [kr./år]</t>
  </si>
  <si>
    <t>Årlig besparelse ved fjernvarme</t>
  </si>
  <si>
    <t>kr./år</t>
  </si>
  <si>
    <t>Indtastet energi</t>
  </si>
  <si>
    <t>indtastet i kr.</t>
  </si>
  <si>
    <t>m</t>
  </si>
  <si>
    <t>Transportbidrag [kr./år]*</t>
  </si>
  <si>
    <t>og ved dårligere afkøling vil det blive større.</t>
  </si>
  <si>
    <r>
      <t xml:space="preserve">* Der er forudsat en gennemsnitlige afkøling på 35 </t>
    </r>
    <r>
      <rPr>
        <i/>
        <sz val="11"/>
        <color indexed="8"/>
        <rFont val="Calibri"/>
        <family val="2"/>
      </rPr>
      <t>°C, ved bedre afkøling vil bidraget blive mindre,</t>
    </r>
  </si>
  <si>
    <t>Investeringsbidrag (Kr. inkl. moms)</t>
  </si>
  <si>
    <t>Fjernvarme Fyn A/S kan ikke stilles til ansvar for beregningen.</t>
  </si>
  <si>
    <r>
      <t>Ejendommens opvarmede areal m</t>
    </r>
    <r>
      <rPr>
        <vertAlign val="superscript"/>
        <sz val="11"/>
        <color indexed="8"/>
        <rFont val="Calibri"/>
        <family val="2"/>
      </rPr>
      <t>2</t>
    </r>
  </si>
  <si>
    <t>Energiomkostninger</t>
  </si>
  <si>
    <t>Indtastet i energi</t>
  </si>
  <si>
    <t>Indtastet i kr.</t>
  </si>
  <si>
    <t xml:space="preserve">Ejendommens adresse: </t>
  </si>
  <si>
    <t xml:space="preserve">Forventet fremtidigt forbrug: </t>
  </si>
  <si>
    <t>Beregnet nettovarmebehov</t>
  </si>
  <si>
    <r>
      <t xml:space="preserve">Forventet varmemængde ved 35 </t>
    </r>
    <r>
      <rPr>
        <sz val="11"/>
        <color theme="1"/>
        <rFont val="Calibri"/>
        <family val="2"/>
      </rPr>
      <t>°C afkøling</t>
    </r>
  </si>
  <si>
    <r>
      <t>m</t>
    </r>
    <r>
      <rPr>
        <vertAlign val="superscript"/>
        <sz val="11"/>
        <color theme="1"/>
        <rFont val="Calibri"/>
        <family val="2"/>
        <scheme val="minor"/>
      </rPr>
      <t>3</t>
    </r>
  </si>
  <si>
    <t>Effektbidrag [kr./år]</t>
  </si>
  <si>
    <r>
      <t>Fjernvarme transportbidrag (Kr./m</t>
    </r>
    <r>
      <rPr>
        <vertAlign val="superscript"/>
        <sz val="11"/>
        <color theme="1"/>
        <rFont val="Calibri"/>
        <family val="2"/>
        <scheme val="minor"/>
      </rPr>
      <t>3</t>
    </r>
    <r>
      <rPr>
        <sz val="11"/>
        <color theme="1"/>
        <rFont val="Calibri"/>
        <family val="2"/>
        <scheme val="minor"/>
      </rPr>
      <t xml:space="preserve"> inkl. moms)</t>
    </r>
  </si>
  <si>
    <t>Kvaliteten af inddata samt klimaet kan påvirke beregningerne.</t>
  </si>
  <si>
    <t>Kom på fjernvarmen for:</t>
  </si>
  <si>
    <t>Opnå rabat nu:</t>
  </si>
  <si>
    <t>I alt:</t>
  </si>
  <si>
    <t>Tilskud fra Fjernvarme Fyn** (Kr. inkl. moms)</t>
  </si>
  <si>
    <t>Etableringsomkostninger:</t>
  </si>
  <si>
    <t>Betaling for afbrydelse af naturgas eller olietank (Kr. inkl. moms)</t>
  </si>
  <si>
    <t xml:space="preserve">Kondenserende kedel (kun naturgas): </t>
  </si>
  <si>
    <r>
      <t>Effektbidrag (kr./m</t>
    </r>
    <r>
      <rPr>
        <vertAlign val="superscript"/>
        <sz val="11"/>
        <color theme="1"/>
        <rFont val="Calibri"/>
        <family val="2"/>
        <scheme val="minor"/>
      </rPr>
      <t>2</t>
    </r>
    <r>
      <rPr>
        <sz val="11"/>
        <color theme="1"/>
        <rFont val="Calibri"/>
        <family val="2"/>
        <scheme val="minor"/>
      </rPr>
      <t>) (kælder tæller 25% af bolig)</t>
    </r>
  </si>
  <si>
    <t>Samlet betaling til Fjernvarme Fyn A/S</t>
  </si>
  <si>
    <t>Eget arbejde</t>
  </si>
  <si>
    <t>Samlet pris til fjernvarme fyn inkl rabat:</t>
  </si>
  <si>
    <t>Eget VVS arbejde:</t>
  </si>
  <si>
    <t>Tank eller Gas afrydelse</t>
  </si>
  <si>
    <t>Sum</t>
  </si>
  <si>
    <t>Udtræksark i forbindelse kundebesøg</t>
  </si>
  <si>
    <t>Etablering af fjernvarme</t>
  </si>
  <si>
    <t>Måler- og administrationsgebyr, naturgas(Kr. inkl. moms)</t>
  </si>
  <si>
    <t>Rabat ved tilslutning i opstartsperioden*</t>
  </si>
  <si>
    <t xml:space="preserve">Fjernvarme energibidrag (Kr./GJ inkl. moms) </t>
  </si>
  <si>
    <t>Piller</t>
  </si>
  <si>
    <t>Træpillepris (kr./kg inkl moms)</t>
  </si>
  <si>
    <t>Eget anlæg</t>
  </si>
  <si>
    <t>Direkte</t>
  </si>
  <si>
    <t>Indirekte</t>
  </si>
  <si>
    <t>Egen indtastning</t>
  </si>
  <si>
    <t>El til cirkulationspumpe [kr./år]</t>
  </si>
  <si>
    <t>Egen indtastning (kun hvis egen indtastning er valgt)</t>
  </si>
  <si>
    <r>
      <t>Naturgaspris (Kr./m</t>
    </r>
    <r>
      <rPr>
        <vertAlign val="superscript"/>
        <sz val="11"/>
        <color theme="1"/>
        <rFont val="Calibri"/>
        <family val="2"/>
        <scheme val="minor"/>
      </rPr>
      <t>3</t>
    </r>
    <r>
      <rPr>
        <sz val="11"/>
        <color theme="1"/>
        <rFont val="Calibri"/>
        <family val="2"/>
        <scheme val="minor"/>
      </rPr>
      <t xml:space="preserve"> inkl. moms), 12 md fastpris</t>
    </r>
  </si>
  <si>
    <t>Tilslutning, direkte/indirekte?*</t>
  </si>
  <si>
    <t>Nuværende varmeinstallation:</t>
  </si>
  <si>
    <t>Nuværende opvarmningsform:</t>
  </si>
  <si>
    <t>Eget anlæg:</t>
  </si>
  <si>
    <t>Alt inkl. kom i gang for</t>
  </si>
  <si>
    <t>Udregning af besparelse ved omlægning til fjernvarme</t>
  </si>
  <si>
    <t>Kompensationsbeløb til NGF Nature Energy</t>
  </si>
  <si>
    <t>Forventet varmebehov</t>
  </si>
  <si>
    <t>** Tilskud til energibesparelsen jf. energiselskabernes energispareindsats, hvorved indberetningsretten overdrages til Fjernvarme Fyn. Der kan derved ikke søges tilskud andre steder til denne konvertering. Gælder kun for tilslutninger som er færdige inden 31/12-2020.</t>
  </si>
  <si>
    <t>* Gælder kun området Tokkerudparken i opstartsperioden</t>
  </si>
  <si>
    <t>Gælder kun for nye fjernvarmekunder i Tokkerudparken</t>
  </si>
  <si>
    <t>Beregningen gælder kun for området nye kunder i projektet Tokkerudparken</t>
  </si>
  <si>
    <t>Gælder kun nye fjernvarme kunder i projektet Tokkerudparken</t>
  </si>
  <si>
    <t>revision: 01/07-2018</t>
  </si>
  <si>
    <t>Etablering af fjernvarme - Blindstik</t>
  </si>
  <si>
    <t>Vær klar til fjernvarme for:</t>
  </si>
  <si>
    <t>Betal nu:</t>
  </si>
  <si>
    <t>Betal ved tilslutning (inden for 5 år):</t>
  </si>
  <si>
    <t>Det er ikke muligt at finansiere "blindstik" via Fjernvarme Fyn</t>
  </si>
  <si>
    <t>* Gælder kun området Ferritslev i opstartsperioden</t>
  </si>
  <si>
    <t>Blindstikket kan ligge i op til 5 år inden den endelige tilslutning skal være foretaget. Der betales et årligt gebyr på 300 kr. Hvis stikket ikke er taget i brug indenfor 5 år afproppes dette og der er ingen tilbagebetaling af allerede indbetalte beløb.</t>
  </si>
  <si>
    <t xml:space="preserve">Finansieringsforslag </t>
  </si>
  <si>
    <t>Finansiering forudsætter posetiv kreditvurdering</t>
  </si>
  <si>
    <t>Se låneordning vilkår for yderligere oplysninger</t>
  </si>
  <si>
    <t>Egenbetaling</t>
  </si>
  <si>
    <t>Beløb til finansiering</t>
  </si>
  <si>
    <t>Årlig</t>
  </si>
  <si>
    <t>Kvartal</t>
  </si>
  <si>
    <t>Ydelse</t>
  </si>
  <si>
    <t>Løbetid n</t>
  </si>
  <si>
    <t>år</t>
  </si>
  <si>
    <t>kvartaler</t>
  </si>
  <si>
    <t>Rente</t>
  </si>
  <si>
    <t>Rente:</t>
  </si>
  <si>
    <t>Løbetid:</t>
  </si>
  <si>
    <t>alpha hage</t>
  </si>
  <si>
    <t>Bestemmelse af løbetid</t>
  </si>
  <si>
    <t>1/alphahage</t>
  </si>
  <si>
    <t>ÅOP</t>
  </si>
  <si>
    <t>kvartal</t>
  </si>
  <si>
    <t>Restgæld</t>
  </si>
  <si>
    <t>Renter</t>
  </si>
  <si>
    <t>Afdrag</t>
  </si>
  <si>
    <t>Betalingsrække</t>
  </si>
  <si>
    <t>t0</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</si>
  <si>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</si>
  <si>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</si>
  <si>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</si>
  <si>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</si>
  <si>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</si>
  <si>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</si>
  <si>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</si>
  <si>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</si>
  <si>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</si>
  <si>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</si>
  <si>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</si>
  <si>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</si>
  <si>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</si>
  <si>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</si>
  <si>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</si>
  <si>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</si>
  <si>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</si>
  <si>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</si>
  <si>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</si>
  <si>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</si>
  <si>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</si>
  <si>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</si>
  <si>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</si>
  <si>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</si>
  <si>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</si>
  <si>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</si>
  <si>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</si>
  <si>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</si>
  <si>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</si>
  <si>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</si>
  <si>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</si>
  <si>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</si>
  <si>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</si>
  <si>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</si>
  <si>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</si>
  <si>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</si>
  <si>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</si>
  <si>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</si>
  <si>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</si>
  <si>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</si>
  <si>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</si>
  <si>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</si>
  <si>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</si>
  <si>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</si>
  <si>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</si>
  <si>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</si>
  <si>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</si>
  <si>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</si>
  <si>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</si>
  <si>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</si>
  <si>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</si>
  <si>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</si>
  <si>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</si>
  <si>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</si>
  <si>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t55</t>
  </si>
  <si>
    <t>t56</t>
  </si>
  <si>
    <t>t57</t>
  </si>
  <si>
    <t>t58</t>
  </si>
  <si>
    <t>t59</t>
  </si>
  <si>
    <t>t60</t>
  </si>
  <si>
    <t>Kompensation til naturgas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</si>
</sst>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kr.&quot;\ #,##0;[Red]&quot;kr.&quot;\ \-#,##0"/>
    <numFmt numFmtId="165" formatCode="&quot;kr.&quot;\ #,##0.00;[Red]&quot;kr.&quot;\ \-#,##0.00"/>
    <numFmt numFmtId="166" formatCode="_ * #,##0.00_ ;_ * \-#,##0.00_ ;_ * &quot;-&quot;??_ ;_ @_ "/>
    <numFmt numFmtId="167" formatCode="0.0"/>
    <numFmt numFmtId="168" formatCode="0_)"/>
    <numFmt numFmtId="169" formatCode="#,##0.0"/>
  </numFmts>
  <fonts count="15" x14ac:knownFonts="1">
    <font>
      <sz val="11"/>
      <color theme="1"/>
      <name val="Calibri"/>
      <family val="2"/>
      <scheme val="minor"/>
    </font>
    <font>
      <vertAlign val="superscript"/>
      <sz val="11"/>
      <color indexed="8"/>
      <name val="Calibri"/>
      <family val="2"/>
    </font>
    <font>
      <i/>
      <sz val="11"/>
      <color indexed="8"/>
      <name val="Calibri"/>
      <family val="2"/>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4"/>
      <color theme="1"/>
      <name val="Calibri"/>
      <family val="2"/>
      <scheme val="minor"/>
    </font>
    <font>
      <i/>
      <sz val="11"/>
      <color theme="1"/>
      <name val="Calibri"/>
      <family val="2"/>
      <scheme val="minor"/>
    </font>
    <font>
      <sz val="11"/>
      <color theme="1"/>
      <name val="Calibri"/>
      <family val="2"/>
    </font>
    <font>
      <vertAlign val="superscript"/>
      <sz val="11"/>
      <color theme="1"/>
      <name val="Calibri"/>
      <family val="2"/>
      <scheme val="minor"/>
    </font>
    <font>
      <b/>
      <sz val="14"/>
      <name val="Calibri"/>
      <family val="2"/>
      <scheme val="minor"/>
    </font>
    <font>
      <sz val="8"/>
      <color rgb="FF000000"/>
      <name val="Tahoma"/>
      <family val="2"/>
    </font>
    <font>
      <b/>
      <sz val="16"/>
      <color theme="1"/>
      <name val="Calibri"/>
      <family val="2"/>
      <scheme val="minor"/>
    </font>
    <font>
      <u/>
      <sz val="10"/>
      <name val="Courier"/>
      <family val="3"/>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60">
    <xf numFmtId="0" fontId="0" fillId="0" borderId="0" xfId="0"/>
    <xf numFmtId="0" fontId="3" fillId="0" borderId="0" xfId="0" applyFont="1"/>
    <xf numFmtId="165" fontId="0" fillId="0" borderId="0" xfId="0" applyNumberFormat="1"/>
    <xf numFmtId="164" fontId="0" fillId="0" borderId="0" xfId="0" applyNumberFormat="1"/>
    <xf numFmtId="164" fontId="3" fillId="0" borderId="0" xfId="0" applyNumberFormat="1" applyFont="1"/>
    <xf numFmtId="0" fontId="0" fillId="2" borderId="0" xfId="0" applyFill="1"/>
    <xf numFmtId="0" fontId="3" fillId="2" borderId="0" xfId="0" applyFont="1" applyFill="1"/>
    <xf numFmtId="0" fontId="4" fillId="2" borderId="0" xfId="0" applyFont="1" applyFill="1"/>
    <xf numFmtId="167" fontId="0" fillId="2" borderId="0" xfId="0" applyNumberFormat="1" applyFill="1"/>
    <xf numFmtId="164" fontId="0" fillId="2" borderId="0" xfId="0" applyNumberFormat="1" applyFill="1"/>
    <xf numFmtId="164" fontId="3" fillId="2" borderId="0" xfId="0" applyNumberFormat="1" applyFont="1" applyFill="1"/>
    <xf numFmtId="0" fontId="0" fillId="2" borderId="1" xfId="0" applyFill="1" applyBorder="1"/>
    <xf numFmtId="0" fontId="3" fillId="2" borderId="2" xfId="0" applyFont="1" applyFill="1" applyBorder="1"/>
    <xf numFmtId="3" fontId="3" fillId="2" borderId="3" xfId="0" applyNumberFormat="1" applyFont="1" applyFill="1" applyBorder="1"/>
    <xf numFmtId="0" fontId="0" fillId="2" borderId="4" xfId="0" applyFill="1" applyBorder="1"/>
    <xf numFmtId="0" fontId="3" fillId="2" borderId="5" xfId="0" applyFont="1" applyFill="1" applyBorder="1"/>
    <xf numFmtId="167" fontId="3" fillId="2" borderId="1" xfId="0" applyNumberFormat="1" applyFont="1" applyFill="1" applyBorder="1"/>
    <xf numFmtId="0" fontId="0" fillId="2" borderId="6" xfId="0" applyFill="1" applyBorder="1"/>
    <xf numFmtId="0" fontId="5" fillId="2" borderId="0" xfId="0" applyFont="1" applyFill="1"/>
    <xf numFmtId="0" fontId="6" fillId="2" borderId="0" xfId="0" applyFont="1" applyFill="1"/>
    <xf numFmtId="0" fontId="0" fillId="2" borderId="0" xfId="0" applyFont="1" applyFill="1"/>
    <xf numFmtId="0" fontId="0" fillId="0" borderId="0" xfId="0" applyFill="1"/>
    <xf numFmtId="0" fontId="0" fillId="0" borderId="7" xfId="0" applyBorder="1"/>
    <xf numFmtId="2" fontId="0" fillId="0" borderId="7" xfId="0" applyNumberFormat="1" applyFill="1" applyBorder="1"/>
    <xf numFmtId="0" fontId="0" fillId="0" borderId="7" xfId="0" applyFill="1" applyBorder="1"/>
    <xf numFmtId="1" fontId="0" fillId="0" borderId="7" xfId="0" applyNumberFormat="1" applyFill="1" applyBorder="1"/>
    <xf numFmtId="3" fontId="0" fillId="0" borderId="7" xfId="0" applyNumberFormat="1" applyFill="1" applyBorder="1"/>
    <xf numFmtId="3" fontId="0" fillId="0" borderId="7" xfId="0" applyNumberFormat="1" applyBorder="1"/>
    <xf numFmtId="0" fontId="7" fillId="0" borderId="0" xfId="0" applyFont="1"/>
    <xf numFmtId="0" fontId="0" fillId="0" borderId="8" xfId="0" applyBorder="1"/>
    <xf numFmtId="3" fontId="0" fillId="0" borderId="9" xfId="0" applyNumberFormat="1" applyBorder="1"/>
    <xf numFmtId="0" fontId="0" fillId="0" borderId="10" xfId="0" applyBorder="1"/>
    <xf numFmtId="0" fontId="0" fillId="0" borderId="0" xfId="0" applyProtection="1">
      <protection locked="0"/>
    </xf>
    <xf numFmtId="0" fontId="0" fillId="3" borderId="0" xfId="0" applyFill="1" applyProtection="1">
      <protection locked="0"/>
    </xf>
    <xf numFmtId="0" fontId="0" fillId="3" borderId="1" xfId="0" applyFill="1" applyBorder="1" applyProtection="1">
      <protection locked="0"/>
    </xf>
    <xf numFmtId="3" fontId="0" fillId="3" borderId="0" xfId="0" applyNumberFormat="1" applyFill="1" applyProtection="1">
      <protection locked="0"/>
    </xf>
    <xf numFmtId="0" fontId="3" fillId="2" borderId="1" xfId="0" applyFont="1" applyFill="1" applyBorder="1" applyProtection="1">
      <protection locked="0"/>
    </xf>
    <xf numFmtId="0" fontId="0" fillId="2" borderId="1" xfId="0" applyFill="1" applyBorder="1" applyProtection="1">
      <protection locked="0"/>
    </xf>
    <xf numFmtId="0" fontId="8" fillId="0" borderId="0" xfId="0" applyFont="1"/>
    <xf numFmtId="167" fontId="3" fillId="2" borderId="0" xfId="0" applyNumberFormat="1" applyFont="1" applyFill="1" applyBorder="1"/>
    <xf numFmtId="0" fontId="0" fillId="2" borderId="0" xfId="0" applyFill="1" applyBorder="1"/>
    <xf numFmtId="0" fontId="0" fillId="0" borderId="12" xfId="0" applyBorder="1"/>
    <xf numFmtId="0" fontId="0" fillId="0" borderId="13" xfId="0" applyBorder="1"/>
    <xf numFmtId="0" fontId="4" fillId="0" borderId="14" xfId="0" applyFont="1" applyBorder="1"/>
    <xf numFmtId="0" fontId="0" fillId="0" borderId="15" xfId="0" applyBorder="1"/>
    <xf numFmtId="0" fontId="0" fillId="0" borderId="14" xfId="0" applyBorder="1"/>
    <xf numFmtId="0" fontId="0" fillId="0" borderId="15" xfId="0" applyFill="1" applyBorder="1"/>
    <xf numFmtId="0" fontId="0" fillId="0" borderId="16" xfId="0" applyBorder="1"/>
    <xf numFmtId="0" fontId="0" fillId="0" borderId="18" xfId="0" applyFill="1" applyBorder="1"/>
    <xf numFmtId="0" fontId="0" fillId="0" borderId="19" xfId="0" applyFill="1" applyBorder="1"/>
    <xf numFmtId="0" fontId="4" fillId="0" borderId="11" xfId="0" applyFont="1" applyBorder="1"/>
    <xf numFmtId="0" fontId="0" fillId="0" borderId="12" xfId="0" applyFill="1" applyBorder="1"/>
    <xf numFmtId="0" fontId="0" fillId="0" borderId="13" xfId="0" applyFill="1" applyBorder="1"/>
    <xf numFmtId="3" fontId="0" fillId="0" borderId="15" xfId="0" applyNumberFormat="1" applyFill="1" applyBorder="1"/>
    <xf numFmtId="0" fontId="3" fillId="0" borderId="17" xfId="0" applyFont="1" applyBorder="1"/>
    <xf numFmtId="3" fontId="3" fillId="0" borderId="18" xfId="0" applyNumberFormat="1" applyFont="1" applyBorder="1"/>
    <xf numFmtId="3" fontId="3" fillId="0" borderId="19" xfId="0" applyNumberFormat="1" applyFont="1" applyBorder="1"/>
    <xf numFmtId="0" fontId="0" fillId="0" borderId="19" xfId="0" applyBorder="1"/>
    <xf numFmtId="3" fontId="0" fillId="0" borderId="0" xfId="0" applyNumberFormat="1" applyFill="1" applyBorder="1"/>
    <xf numFmtId="1" fontId="0" fillId="2" borderId="0" xfId="0" applyNumberFormat="1" applyFill="1"/>
    <xf numFmtId="0" fontId="0" fillId="0" borderId="20" xfId="0" applyBorder="1"/>
    <xf numFmtId="0" fontId="0" fillId="0" borderId="21" xfId="0" applyFill="1" applyBorder="1"/>
    <xf numFmtId="0" fontId="0" fillId="0" borderId="22" xfId="0" applyFill="1" applyBorder="1"/>
    <xf numFmtId="0" fontId="0" fillId="0" borderId="17" xfId="0" applyFill="1" applyBorder="1"/>
    <xf numFmtId="0" fontId="0" fillId="0" borderId="0" xfId="0" applyBorder="1"/>
    <xf numFmtId="3" fontId="0" fillId="0" borderId="0" xfId="0" applyNumberFormat="1" applyBorder="1"/>
    <xf numFmtId="0" fontId="11" fillId="0" borderId="0" xfId="0" applyFont="1" applyFill="1" applyBorder="1"/>
    <xf numFmtId="3" fontId="0" fillId="0" borderId="23" xfId="0" applyNumberFormat="1" applyBorder="1"/>
    <xf numFmtId="0" fontId="0" fillId="0" borderId="24" xfId="0" applyFill="1" applyBorder="1"/>
    <xf numFmtId="3" fontId="0" fillId="0" borderId="25" xfId="0" applyNumberFormat="1" applyFill="1" applyBorder="1"/>
    <xf numFmtId="0" fontId="0" fillId="0" borderId="26" xfId="0" applyFill="1" applyBorder="1"/>
    <xf numFmtId="0" fontId="0" fillId="0" borderId="27" xfId="0" applyBorder="1"/>
    <xf numFmtId="0" fontId="0" fillId="0" borderId="28" xfId="0" applyBorder="1"/>
    <xf numFmtId="0" fontId="3" fillId="0" borderId="29" xfId="0" applyFont="1" applyBorder="1"/>
    <xf numFmtId="3" fontId="3" fillId="0" borderId="30" xfId="0" applyNumberFormat="1" applyFont="1" applyBorder="1"/>
    <xf numFmtId="0" fontId="0" fillId="0" borderId="31" xfId="0" applyBorder="1"/>
    <xf numFmtId="0" fontId="0" fillId="0" borderId="26" xfId="0" applyBorder="1"/>
    <xf numFmtId="0" fontId="0" fillId="0" borderId="24" xfId="0" applyBorder="1"/>
    <xf numFmtId="0" fontId="0" fillId="0" borderId="29" xfId="0" applyFill="1" applyBorder="1"/>
    <xf numFmtId="3" fontId="0" fillId="0" borderId="30" xfId="0" applyNumberFormat="1" applyFill="1" applyBorder="1"/>
    <xf numFmtId="0" fontId="7" fillId="0" borderId="10" xfId="0" applyFont="1" applyBorder="1"/>
    <xf numFmtId="3" fontId="0" fillId="0" borderId="25" xfId="0" applyNumberFormat="1" applyBorder="1"/>
    <xf numFmtId="0" fontId="3" fillId="0" borderId="11" xfId="0" applyFont="1" applyBorder="1"/>
    <xf numFmtId="0" fontId="0" fillId="0" borderId="0" xfId="0" applyFill="1" applyBorder="1"/>
    <xf numFmtId="0" fontId="3" fillId="0" borderId="0" xfId="0" applyFont="1" applyBorder="1"/>
    <xf numFmtId="3" fontId="3" fillId="0" borderId="0" xfId="0" applyNumberFormat="1" applyFont="1" applyBorder="1"/>
    <xf numFmtId="0" fontId="7" fillId="0" borderId="0" xfId="0" applyFont="1" applyBorder="1"/>
    <xf numFmtId="0" fontId="0" fillId="0" borderId="24" xfId="0" applyBorder="1" applyAlignment="1">
      <alignment wrapText="1"/>
    </xf>
    <xf numFmtId="0" fontId="7" fillId="0" borderId="8" xfId="0" applyFont="1" applyBorder="1"/>
    <xf numFmtId="0" fontId="7" fillId="0" borderId="9" xfId="0" applyFont="1" applyBorder="1"/>
    <xf numFmtId="3" fontId="7" fillId="0" borderId="9" xfId="0" applyNumberFormat="1" applyFont="1" applyBorder="1"/>
    <xf numFmtId="0" fontId="0" fillId="0" borderId="2" xfId="0" applyBorder="1"/>
    <xf numFmtId="0" fontId="0" fillId="0" borderId="3" xfId="0" applyBorder="1"/>
    <xf numFmtId="3" fontId="0" fillId="0" borderId="3" xfId="0" applyNumberFormat="1" applyBorder="1"/>
    <xf numFmtId="0" fontId="0" fillId="0" borderId="4" xfId="0" applyBorder="1"/>
    <xf numFmtId="0" fontId="0" fillId="0" borderId="32" xfId="0" applyBorder="1"/>
    <xf numFmtId="0" fontId="0" fillId="0" borderId="5" xfId="0" applyBorder="1"/>
    <xf numFmtId="0" fontId="0" fillId="0" borderId="1" xfId="0" applyBorder="1"/>
    <xf numFmtId="3" fontId="0" fillId="0" borderId="1" xfId="0" applyNumberFormat="1" applyBorder="1"/>
    <xf numFmtId="0" fontId="0" fillId="0" borderId="6" xfId="0" applyBorder="1"/>
    <xf numFmtId="0" fontId="0" fillId="0" borderId="0" xfId="0" applyBorder="1" applyAlignment="1"/>
    <xf numFmtId="3" fontId="0" fillId="0" borderId="23" xfId="0" applyNumberFormat="1" applyFill="1" applyBorder="1"/>
    <xf numFmtId="0" fontId="0" fillId="0" borderId="29" xfId="0" applyBorder="1"/>
    <xf numFmtId="3" fontId="0" fillId="0" borderId="30" xfId="0" applyNumberFormat="1" applyBorder="1"/>
    <xf numFmtId="0" fontId="3" fillId="0" borderId="33" xfId="0" applyFont="1" applyBorder="1"/>
    <xf numFmtId="3" fontId="3" fillId="0" borderId="33" xfId="0" applyNumberFormat="1" applyFont="1" applyBorder="1"/>
    <xf numFmtId="0" fontId="0" fillId="0" borderId="0" xfId="0" applyBorder="1" applyAlignment="1"/>
    <xf numFmtId="167" fontId="0" fillId="0" borderId="7" xfId="0" applyNumberFormat="1" applyFill="1" applyBorder="1"/>
    <xf numFmtId="3" fontId="0" fillId="0" borderId="0" xfId="0" applyNumberFormat="1" applyFill="1" applyProtection="1"/>
    <xf numFmtId="0" fontId="0" fillId="0" borderId="22" xfId="0" applyBorder="1"/>
    <xf numFmtId="0" fontId="8" fillId="2" borderId="0" xfId="0" applyFont="1" applyFill="1" applyBorder="1"/>
    <xf numFmtId="3" fontId="0" fillId="0" borderId="21" xfId="0" applyNumberFormat="1" applyBorder="1" applyAlignment="1">
      <alignment horizontal="right"/>
    </xf>
    <xf numFmtId="0" fontId="13" fillId="0" borderId="8" xfId="0" applyFont="1" applyFill="1" applyBorder="1"/>
    <xf numFmtId="3" fontId="13" fillId="0" borderId="9" xfId="0" applyNumberFormat="1" applyFont="1" applyFill="1" applyBorder="1"/>
    <xf numFmtId="0" fontId="13" fillId="0" borderId="10" xfId="0" applyFont="1" applyFill="1" applyBorder="1"/>
    <xf numFmtId="0" fontId="8" fillId="0" borderId="8" xfId="0" applyFont="1" applyFill="1" applyBorder="1"/>
    <xf numFmtId="3" fontId="8" fillId="0" borderId="9" xfId="0" applyNumberFormat="1" applyFont="1" applyFill="1" applyBorder="1"/>
    <xf numFmtId="0" fontId="8" fillId="0" borderId="10" xfId="0" applyFont="1" applyBorder="1"/>
    <xf numFmtId="0" fontId="0" fillId="0" borderId="34" xfId="0" applyBorder="1" applyAlignment="1">
      <alignment wrapText="1"/>
    </xf>
    <xf numFmtId="3" fontId="0" fillId="0" borderId="35" xfId="0" applyNumberFormat="1" applyBorder="1"/>
    <xf numFmtId="0" fontId="0" fillId="0" borderId="36" xfId="0" applyBorder="1"/>
    <xf numFmtId="0" fontId="3" fillId="0" borderId="31" xfId="0" applyFont="1" applyBorder="1"/>
    <xf numFmtId="0" fontId="3" fillId="0" borderId="29" xfId="0" applyFont="1" applyFill="1" applyBorder="1"/>
    <xf numFmtId="3" fontId="3" fillId="0" borderId="30" xfId="0" applyNumberFormat="1" applyFont="1" applyFill="1" applyBorder="1"/>
    <xf numFmtId="0" fontId="3" fillId="0" borderId="0" xfId="0" applyFont="1" applyFill="1" applyBorder="1"/>
    <xf numFmtId="0" fontId="3" fillId="3" borderId="2" xfId="0" applyFont="1" applyFill="1" applyBorder="1"/>
    <xf numFmtId="0" fontId="3" fillId="3" borderId="3" xfId="0" applyFont="1" applyFill="1" applyBorder="1"/>
    <xf numFmtId="4" fontId="3" fillId="3" borderId="3" xfId="0" applyNumberFormat="1" applyFont="1" applyFill="1" applyBorder="1"/>
    <xf numFmtId="0" fontId="3" fillId="3" borderId="4" xfId="0" applyFont="1" applyFill="1" applyBorder="1"/>
    <xf numFmtId="0" fontId="0" fillId="3" borderId="32" xfId="0" applyFill="1" applyBorder="1"/>
    <xf numFmtId="0" fontId="0" fillId="3" borderId="0" xfId="0" applyFill="1" applyBorder="1"/>
    <xf numFmtId="4" fontId="0" fillId="3" borderId="0" xfId="0" applyNumberFormat="1" applyFill="1" applyBorder="1"/>
    <xf numFmtId="0" fontId="0" fillId="3" borderId="16" xfId="0" applyFill="1" applyBorder="1"/>
    <xf numFmtId="0" fontId="3" fillId="3" borderId="5" xfId="0" applyFont="1" applyFill="1" applyBorder="1"/>
    <xf numFmtId="0" fontId="3" fillId="3" borderId="1" xfId="0" applyFont="1" applyFill="1" applyBorder="1"/>
    <xf numFmtId="4" fontId="3" fillId="3" borderId="1" xfId="0" applyNumberFormat="1" applyFont="1" applyFill="1" applyBorder="1"/>
    <xf numFmtId="0" fontId="3" fillId="3" borderId="6" xfId="0" applyFont="1" applyFill="1" applyBorder="1"/>
    <xf numFmtId="0" fontId="0" fillId="0" borderId="11" xfId="0" applyBorder="1"/>
    <xf numFmtId="4" fontId="0" fillId="0" borderId="32" xfId="0" applyNumberFormat="1" applyBorder="1"/>
    <xf numFmtId="2" fontId="0" fillId="0" borderId="16" xfId="0" applyNumberFormat="1" applyBorder="1"/>
    <xf numFmtId="10" fontId="0" fillId="0" borderId="32" xfId="0" applyNumberFormat="1" applyBorder="1"/>
    <xf numFmtId="168" fontId="14" fillId="0" borderId="0" xfId="0" applyNumberFormat="1" applyFont="1" applyAlignment="1" applyProtection="1">
      <alignment horizontal="center"/>
    </xf>
    <xf numFmtId="0" fontId="14" fillId="0" borderId="0" xfId="0" applyFont="1" applyAlignment="1">
      <alignment horizontal="center"/>
    </xf>
    <xf numFmtId="2" fontId="0" fillId="0" borderId="32" xfId="0" applyNumberFormat="1" applyBorder="1"/>
    <xf numFmtId="169" fontId="0" fillId="0" borderId="0" xfId="0" applyNumberFormat="1" applyAlignment="1" applyProtection="1">
      <alignment horizontal="center"/>
    </xf>
    <xf numFmtId="168" fontId="0" fillId="0" borderId="0" xfId="0" applyNumberFormat="1" applyAlignment="1" applyProtection="1">
      <alignment horizontal="center"/>
    </xf>
    <xf numFmtId="0" fontId="0" fillId="0" borderId="17" xfId="0" applyBorder="1"/>
    <xf numFmtId="10" fontId="0" fillId="0" borderId="5" xfId="0" applyNumberFormat="1" applyBorder="1"/>
    <xf numFmtId="166" fontId="0" fillId="0" borderId="13" xfId="0" applyNumberFormat="1" applyBorder="1"/>
    <xf numFmtId="166" fontId="0" fillId="0" borderId="7" xfId="0" applyNumberFormat="1" applyBorder="1"/>
    <xf numFmtId="166" fontId="0" fillId="0" borderId="15" xfId="0" applyNumberFormat="1" applyBorder="1"/>
    <xf numFmtId="166" fontId="0" fillId="0" borderId="18" xfId="0" applyNumberFormat="1" applyBorder="1"/>
    <xf numFmtId="166" fontId="0" fillId="0" borderId="19" xfId="0" applyNumberFormat="1" applyBorder="1"/>
    <xf numFmtId="3" fontId="0" fillId="0" borderId="0" xfId="0" applyNumberFormat="1"/>
    <xf numFmtId="0" fontId="0" fillId="0" borderId="0" xfId="0" applyBorder="1" applyAlignment="1">
      <alignment wrapText="1"/>
    </xf>
    <xf numFmtId="0" fontId="0" fillId="0" borderId="0" xfId="0" applyBorder="1" applyAlignment="1"/>
    <xf numFmtId="0" fontId="7" fillId="0" borderId="0" xfId="0" applyFont="1" applyBorder="1" applyAlignment="1">
      <alignment wrapText="1"/>
    </xf>
    <xf numFmtId="0" fontId="3" fillId="3" borderId="8" xfId="0" applyFont="1" applyFill="1" applyBorder="1" applyAlignment="1">
      <alignment horizontal="center"/>
    </xf>
    <xf numFmtId="0" fontId="3" fillId="3" borderId="10" xfId="0" applyFont="1" applyFill="1" applyBorder="1" applyAlignment="1">
      <alignment horizontal="center"/>
    </xf>
    <xf numFmtId="0" fontId="3" fillId="3" borderId="1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5" fmlaLink="$Q$21" fmlaRange="$P$20:$P$23" noThreeD="1" sel="1" val="0"/>
</file>

<file path=xl/ctrlProps/ctrlProp2.xml><?xml version="1.0" encoding="utf-8"?>
<formControlPr xmlns="http://schemas.microsoft.com/office/spreadsheetml/2009/9/main" objectType="Drop" dropStyle="combo" dx="15" fmlaLink="$Q$32" fmlaRange="$P$31:$P$32" noThreeD="1" sel="2" val="0"/>
</file>

<file path=xl/ctrlProps/ctrlProp3.xml><?xml version="1.0" encoding="utf-8"?>
<formControlPr xmlns="http://schemas.microsoft.com/office/spreadsheetml/2009/9/main" objectType="Drop" dropStyle="combo" dx="15" fmlaLink="$Q$26" fmlaRange="$P$25:$P$26" noThreeD="1" sel="1" val="0"/>
</file>

<file path=xl/ctrlProps/ctrlProp4.xml><?xml version="1.0" encoding="utf-8"?>
<formControlPr xmlns="http://schemas.microsoft.com/office/spreadsheetml/2009/9/main" objectType="Drop" dropStyle="combo" dx="15" fmlaLink="$Q$29" fmlaRange="$P$28:$P$29" noThreeD="1" sel="1" val="0"/>
</file>

<file path=xl/ctrlProps/ctrlProp5.xml><?xml version="1.0" encoding="utf-8"?>
<formControlPr xmlns="http://schemas.microsoft.com/office/spreadsheetml/2009/9/main" objectType="Drop" dropStyle="combo" dx="15" fmlaLink="$Q$35" fmlaRange="$P$34:$P$36" noThreeD="1" sel="1" val="0"/>
</file>

<file path=xl/ctrlProps/ctrlProp6.xml><?xml version="1.0" encoding="utf-8"?>
<formControlPr xmlns="http://schemas.microsoft.com/office/spreadsheetml/2009/9/main" objectType="CheckBox" checked="Checked" fmlaLink="$J$5" lockText="1" noThreeD="1"/>
</file>

<file path=xl/ctrlProps/ctrlProp7.xml><?xml version="1.0" encoding="utf-8"?>
<formControlPr xmlns="http://schemas.microsoft.com/office/spreadsheetml/2009/9/main" objectType="CheckBox" checked="Checked" fmlaLink="$J$7" lockText="1" noThreeD="1"/>
</file>

<file path=xl/ctrlProps/ctrlProp8.xml><?xml version="1.0" encoding="utf-8"?>
<formControlPr xmlns="http://schemas.microsoft.com/office/spreadsheetml/2009/9/main" objectType="CheckBox" checked="Checked" fmlaLink="$J$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2727960</xdr:colOff>
          <xdr:row>12</xdr:row>
          <xdr:rowOff>0</xdr:rowOff>
        </xdr:from>
        <xdr:to>
          <xdr:col>1</xdr:col>
          <xdr:colOff>0</xdr:colOff>
          <xdr:row>13</xdr:row>
          <xdr:rowOff>7620</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2727960</xdr:colOff>
          <xdr:row>26</xdr:row>
          <xdr:rowOff>0</xdr:rowOff>
        </xdr:from>
        <xdr:to>
          <xdr:col>1</xdr:col>
          <xdr:colOff>0</xdr:colOff>
          <xdr:row>27</xdr:row>
          <xdr:rowOff>7620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2727960</xdr:colOff>
          <xdr:row>15</xdr:row>
          <xdr:rowOff>182880</xdr:rowOff>
        </xdr:from>
        <xdr:to>
          <xdr:col>1</xdr:col>
          <xdr:colOff>0</xdr:colOff>
          <xdr:row>17</xdr:row>
          <xdr:rowOff>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2727960</xdr:colOff>
          <xdr:row>17</xdr:row>
          <xdr:rowOff>182880</xdr:rowOff>
        </xdr:from>
        <xdr:to>
          <xdr:col>1</xdr:col>
          <xdr:colOff>0</xdr:colOff>
          <xdr:row>19</xdr:row>
          <xdr:rowOff>0</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2743200</xdr:colOff>
          <xdr:row>20</xdr:row>
          <xdr:rowOff>160020</xdr:rowOff>
        </xdr:from>
        <xdr:to>
          <xdr:col>1</xdr:col>
          <xdr:colOff>22860</xdr:colOff>
          <xdr:row>21</xdr:row>
          <xdr:rowOff>175260</xdr:rowOff>
        </xdr:to>
        <xdr:sp macro="" textlink="">
          <xdr:nvSpPr>
            <xdr:cNvPr id="1031" name="Drop Down 7"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35080</xdr:colOff>
      <xdr:row>0</xdr:row>
      <xdr:rowOff>0</xdr:rowOff>
    </xdr:from>
    <xdr:to>
      <xdr:col>0</xdr:col>
      <xdr:colOff>1533526</xdr:colOff>
      <xdr:row>3</xdr:row>
      <xdr:rowOff>42863</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080" y="0"/>
          <a:ext cx="1498446" cy="614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2600325</xdr:colOff>
      <xdr:row>0</xdr:row>
      <xdr:rowOff>38100</xdr:rowOff>
    </xdr:from>
    <xdr:to>
      <xdr:col>2</xdr:col>
      <xdr:colOff>266700</xdr:colOff>
      <xdr:row>4</xdr:row>
      <xdr:rowOff>123825</xdr:rowOff>
    </xdr:to>
    <xdr:sp macro="" textlink="">
      <xdr:nvSpPr>
        <xdr:cNvPr id="2" name="Ellipse 1"/>
        <xdr:cNvSpPr/>
      </xdr:nvSpPr>
      <xdr:spPr>
        <a:xfrm>
          <a:off x="2600325" y="38100"/>
          <a:ext cx="2800350" cy="895350"/>
        </a:xfrm>
        <a:prstGeom prst="ellipse">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0</xdr:col>
      <xdr:colOff>2809875</xdr:colOff>
      <xdr:row>0</xdr:row>
      <xdr:rowOff>171449</xdr:rowOff>
    </xdr:from>
    <xdr:to>
      <xdr:col>2</xdr:col>
      <xdr:colOff>219075</xdr:colOff>
      <xdr:row>4</xdr:row>
      <xdr:rowOff>19049</xdr:rowOff>
    </xdr:to>
    <xdr:sp macro="" textlink="">
      <xdr:nvSpPr>
        <xdr:cNvPr id="3" name="Tekstfelt 2"/>
        <xdr:cNvSpPr txBox="1"/>
      </xdr:nvSpPr>
      <xdr:spPr>
        <a:xfrm>
          <a:off x="2809875" y="171449"/>
          <a:ext cx="25431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000" i="1">
              <a:latin typeface="+mn-lt"/>
            </a:rPr>
            <a:t>Bolig job ordningen er blevet permanent fra 2018. Det giver typisk en besparelse på 4.000 - 5.000 kr. for tilslutning af en bolig</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3</xdr:row>
          <xdr:rowOff>160020</xdr:rowOff>
        </xdr:from>
        <xdr:to>
          <xdr:col>4</xdr:col>
          <xdr:colOff>327660</xdr:colOff>
          <xdr:row>5</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Med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xdr:row>
          <xdr:rowOff>7620</xdr:rowOff>
        </xdr:from>
        <xdr:to>
          <xdr:col>4</xdr:col>
          <xdr:colOff>312420</xdr:colOff>
          <xdr:row>7</xdr:row>
          <xdr:rowOff>38100</xdr:rowOff>
        </xdr:to>
        <xdr:sp macro="" textlink="">
          <xdr:nvSpPr>
            <xdr:cNvPr id="2053" name="Check Box 5" descr="Med ?"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Med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xdr:row>
          <xdr:rowOff>22860</xdr:rowOff>
        </xdr:from>
        <xdr:to>
          <xdr:col>6</xdr:col>
          <xdr:colOff>449580</xdr:colOff>
          <xdr:row>9</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Med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Desktop/Nye%20omr&#229;der_regneark/okonomiberegninger_nye_omraader-okonomiberegning_ferritslev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data"/>
      <sheetName val="Energipriser og omkostninger"/>
      <sheetName val="Etablering, hel tilslutning"/>
      <sheetName val="Etablering, blindstik"/>
      <sheetName val="Finansiering"/>
      <sheetName val="Udtræk"/>
    </sheetNames>
    <sheetDataSet>
      <sheetData sheetId="0">
        <row r="7">
          <cell r="A7" t="str">
            <v xml:space="preserve">Ejendommens adresse: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1"/>
  <dimension ref="A1:S78"/>
  <sheetViews>
    <sheetView tabSelected="1" zoomScaleNormal="100" workbookViewId="0">
      <selection activeCell="C7" sqref="C7"/>
    </sheetView>
  </sheetViews>
  <sheetFormatPr defaultRowHeight="14.4" x14ac:dyDescent="0.3"/>
  <cols>
    <col min="1" max="1" width="58.109375" customWidth="1"/>
    <col min="2" max="2" width="12.5546875" bestFit="1" customWidth="1"/>
    <col min="5" max="5" width="11.88671875" bestFit="1" customWidth="1"/>
    <col min="12" max="12" width="9.109375" customWidth="1"/>
    <col min="13" max="16" width="9.109375" hidden="1" customWidth="1"/>
    <col min="17" max="17" width="11.33203125" hidden="1" customWidth="1"/>
    <col min="18" max="19" width="9.109375" hidden="1" customWidth="1"/>
    <col min="20" max="20" width="9.109375" customWidth="1"/>
  </cols>
  <sheetData>
    <row r="1" spans="1:3" x14ac:dyDescent="0.3">
      <c r="A1" s="6"/>
      <c r="B1" s="5"/>
      <c r="C1" s="5"/>
    </row>
    <row r="2" spans="1:3" x14ac:dyDescent="0.3">
      <c r="A2" s="6"/>
      <c r="B2" s="5"/>
      <c r="C2" s="5"/>
    </row>
    <row r="3" spans="1:3" x14ac:dyDescent="0.3">
      <c r="A3" s="6"/>
      <c r="B3" s="5"/>
      <c r="C3" s="5"/>
    </row>
    <row r="4" spans="1:3" x14ac:dyDescent="0.3">
      <c r="A4" s="6" t="s">
        <v>111</v>
      </c>
      <c r="B4" s="5"/>
      <c r="C4" s="5"/>
    </row>
    <row r="5" spans="1:3" x14ac:dyDescent="0.3">
      <c r="A5" s="6" t="s">
        <v>118</v>
      </c>
      <c r="B5" s="5"/>
      <c r="C5" s="5"/>
    </row>
    <row r="6" spans="1:3" x14ac:dyDescent="0.3">
      <c r="A6" s="6"/>
      <c r="B6" s="5"/>
      <c r="C6" s="5"/>
    </row>
    <row r="7" spans="1:3" ht="15" thickBot="1" x14ac:dyDescent="0.35">
      <c r="A7" s="36" t="s">
        <v>70</v>
      </c>
      <c r="B7" s="37"/>
      <c r="C7" s="37"/>
    </row>
    <row r="8" spans="1:3" x14ac:dyDescent="0.3">
      <c r="A8" s="7" t="s">
        <v>0</v>
      </c>
      <c r="B8" s="5"/>
      <c r="C8" s="5"/>
    </row>
    <row r="9" spans="1:3" ht="16.2" x14ac:dyDescent="0.3">
      <c r="A9" s="5" t="s">
        <v>66</v>
      </c>
      <c r="B9" s="33">
        <v>130</v>
      </c>
      <c r="C9" s="5" t="s">
        <v>48</v>
      </c>
    </row>
    <row r="10" spans="1:3" ht="16.2" x14ac:dyDescent="0.3">
      <c r="A10" s="5" t="s">
        <v>35</v>
      </c>
      <c r="B10" s="33">
        <v>0</v>
      </c>
      <c r="C10" s="5" t="s">
        <v>48</v>
      </c>
    </row>
    <row r="11" spans="1:3" ht="15" thickBot="1" x14ac:dyDescent="0.35">
      <c r="A11" s="11" t="s">
        <v>3</v>
      </c>
      <c r="B11" s="34">
        <v>15</v>
      </c>
      <c r="C11" s="11" t="s">
        <v>60</v>
      </c>
    </row>
    <row r="12" spans="1:3" x14ac:dyDescent="0.3">
      <c r="A12" s="5"/>
      <c r="B12" s="5"/>
      <c r="C12" s="5"/>
    </row>
    <row r="13" spans="1:3" x14ac:dyDescent="0.3">
      <c r="A13" s="7" t="s">
        <v>108</v>
      </c>
      <c r="B13" s="5"/>
      <c r="C13" s="5"/>
    </row>
    <row r="14" spans="1:3" x14ac:dyDescent="0.3">
      <c r="A14" s="5"/>
      <c r="B14" s="5"/>
      <c r="C14" s="5"/>
    </row>
    <row r="15" spans="1:3" x14ac:dyDescent="0.3">
      <c r="A15" s="7" t="s">
        <v>107</v>
      </c>
      <c r="B15" s="5"/>
      <c r="C15" s="5"/>
    </row>
    <row r="16" spans="1:3" x14ac:dyDescent="0.3">
      <c r="A16" s="5" t="s">
        <v>42</v>
      </c>
      <c r="B16" s="33">
        <v>1990</v>
      </c>
      <c r="C16" s="5"/>
    </row>
    <row r="17" spans="1:17" x14ac:dyDescent="0.3">
      <c r="A17" s="5" t="s">
        <v>84</v>
      </c>
      <c r="B17" s="5"/>
      <c r="C17" s="5"/>
    </row>
    <row r="18" spans="1:17" x14ac:dyDescent="0.3">
      <c r="A18" s="5" t="s">
        <v>41</v>
      </c>
      <c r="B18" s="5">
        <f>IF(OR(Q21=1),IF(OR(Q26=1),100,82.5),IF(OR(Q21=2),IF(B16&gt;1977,85.7,76),IF(OR(Q21=3),100,80)))</f>
        <v>100</v>
      </c>
      <c r="C18" s="5" t="s">
        <v>40</v>
      </c>
    </row>
    <row r="19" spans="1:17" x14ac:dyDescent="0.3">
      <c r="A19" s="5" t="s">
        <v>49</v>
      </c>
      <c r="B19" s="5"/>
      <c r="C19" s="5"/>
      <c r="P19" t="s">
        <v>28</v>
      </c>
    </row>
    <row r="20" spans="1:17" x14ac:dyDescent="0.3">
      <c r="A20" s="5"/>
      <c r="B20" s="5"/>
      <c r="C20" s="5"/>
      <c r="P20" t="s">
        <v>24</v>
      </c>
    </row>
    <row r="21" spans="1:17" x14ac:dyDescent="0.3">
      <c r="A21" s="7" t="s">
        <v>109</v>
      </c>
      <c r="B21" s="5"/>
      <c r="C21" s="5"/>
      <c r="P21" t="s">
        <v>25</v>
      </c>
      <c r="Q21" s="32">
        <v>1</v>
      </c>
    </row>
    <row r="22" spans="1:17" x14ac:dyDescent="0.3">
      <c r="A22" s="18" t="s">
        <v>106</v>
      </c>
      <c r="B22" s="5"/>
      <c r="C22" s="5"/>
      <c r="P22" t="s">
        <v>26</v>
      </c>
      <c r="Q22" s="32"/>
    </row>
    <row r="23" spans="1:17" x14ac:dyDescent="0.3">
      <c r="A23" s="5" t="s">
        <v>104</v>
      </c>
      <c r="B23" s="35">
        <v>16000</v>
      </c>
      <c r="C23" t="s">
        <v>32</v>
      </c>
      <c r="P23" t="s">
        <v>97</v>
      </c>
      <c r="Q23" s="32"/>
    </row>
    <row r="24" spans="1:17" x14ac:dyDescent="0.3">
      <c r="A24" s="5" t="s">
        <v>45</v>
      </c>
      <c r="B24" s="108">
        <f>IF(Q35=1,25000,IF(Q35=2,30000,B23))</f>
        <v>25000</v>
      </c>
      <c r="C24" s="5" t="s">
        <v>32</v>
      </c>
      <c r="P24" t="s">
        <v>29</v>
      </c>
      <c r="Q24" s="32"/>
    </row>
    <row r="25" spans="1:17" x14ac:dyDescent="0.3">
      <c r="A25" s="5"/>
      <c r="B25" s="5"/>
      <c r="C25" s="5"/>
      <c r="P25" t="s">
        <v>27</v>
      </c>
      <c r="Q25" s="32"/>
    </row>
    <row r="26" spans="1:17" x14ac:dyDescent="0.3">
      <c r="A26" s="7" t="s">
        <v>44</v>
      </c>
      <c r="B26" s="5"/>
      <c r="C26" s="5"/>
      <c r="P26" t="s">
        <v>31</v>
      </c>
      <c r="Q26" s="32">
        <v>1</v>
      </c>
    </row>
    <row r="27" spans="1:17" x14ac:dyDescent="0.3">
      <c r="A27" s="18" t="s">
        <v>43</v>
      </c>
      <c r="P27" t="s">
        <v>30</v>
      </c>
      <c r="Q27" s="32"/>
    </row>
    <row r="28" spans="1:17" x14ac:dyDescent="0.3">
      <c r="A28" s="18" t="s">
        <v>44</v>
      </c>
      <c r="B28" s="35">
        <v>1500</v>
      </c>
      <c r="C28" s="5" t="str">
        <f>IF(OR(Q21=1),IF(OR(Q32=1),"kr./år","nm3/år"),IF(OR(Q21=2),IF(Q32=1,"kr./år","liter/år"),IF(OR(Q21=3),IF(Q32=1,"kr./år","kWh/år"),IF(OR(Q21=4),IF(Q32=1,"kr./år","kg/år")))))</f>
        <v>nm3/år</v>
      </c>
      <c r="P28" t="s">
        <v>27</v>
      </c>
      <c r="Q28" s="32"/>
    </row>
    <row r="29" spans="1:17" x14ac:dyDescent="0.3">
      <c r="A29" s="5" t="s">
        <v>72</v>
      </c>
      <c r="B29" s="8">
        <f>IF(OR(Q21=1),IF(OR(Q32=2),R41,R46),IF(OR(Q21=2),IF(OR(Q32=2),R42,R47),IF(OR(Q21=3),IF(OR(Q32=2),R43,R48),IF(OR(Q21=4),IF(OR(Q32=2),R44,R49)))))</f>
        <v>59.4</v>
      </c>
      <c r="C29" s="5" t="s">
        <v>38</v>
      </c>
      <c r="P29" t="s">
        <v>31</v>
      </c>
      <c r="Q29" s="32">
        <v>1</v>
      </c>
    </row>
    <row r="30" spans="1:17" x14ac:dyDescent="0.3">
      <c r="A30" s="5" t="s">
        <v>13</v>
      </c>
      <c r="B30" s="5">
        <f>IF(OR(Q21=1),IF(OR(Q29=1),243,462),IF(OR(Q21=2),IF(OR(Q29=1),333,552),IF(OR(Q21=4),IF(OR(Q29=1),333,552),0)))</f>
        <v>243</v>
      </c>
      <c r="C30" s="5" t="s">
        <v>39</v>
      </c>
      <c r="P30" t="s">
        <v>2</v>
      </c>
      <c r="Q30" s="32"/>
    </row>
    <row r="31" spans="1:17" x14ac:dyDescent="0.3">
      <c r="A31" s="5"/>
      <c r="B31" s="5"/>
      <c r="C31" s="5"/>
      <c r="P31" t="s">
        <v>32</v>
      </c>
      <c r="Q31" s="32"/>
    </row>
    <row r="32" spans="1:17" x14ac:dyDescent="0.3">
      <c r="A32" s="7" t="s">
        <v>71</v>
      </c>
      <c r="B32" s="5"/>
      <c r="C32" s="5"/>
      <c r="P32" t="s">
        <v>33</v>
      </c>
      <c r="Q32" s="32">
        <v>2</v>
      </c>
    </row>
    <row r="33" spans="1:18" x14ac:dyDescent="0.3">
      <c r="A33" s="5" t="s">
        <v>113</v>
      </c>
      <c r="B33" s="8">
        <f>B29</f>
        <v>59.4</v>
      </c>
      <c r="C33" s="5" t="s">
        <v>38</v>
      </c>
      <c r="P33" t="s">
        <v>99</v>
      </c>
      <c r="Q33" s="32"/>
    </row>
    <row r="34" spans="1:18" ht="16.2" x14ac:dyDescent="0.3">
      <c r="A34" s="5" t="s">
        <v>73</v>
      </c>
      <c r="B34" s="59">
        <f>(B33*1000000)/(4.2*1000*35)</f>
        <v>404.08163265306121</v>
      </c>
      <c r="C34" s="5" t="s">
        <v>74</v>
      </c>
      <c r="P34" t="s">
        <v>100</v>
      </c>
      <c r="Q34" s="32"/>
    </row>
    <row r="35" spans="1:18" ht="15" thickBot="1" x14ac:dyDescent="0.35">
      <c r="A35" s="5"/>
      <c r="B35" s="5"/>
      <c r="C35" s="5"/>
      <c r="P35" t="s">
        <v>101</v>
      </c>
      <c r="Q35" s="32">
        <v>1</v>
      </c>
    </row>
    <row r="36" spans="1:18" x14ac:dyDescent="0.3">
      <c r="A36" s="12" t="s">
        <v>21</v>
      </c>
      <c r="B36" s="13">
        <f>'Energipriser og omkostninger'!B35</f>
        <v>7577.7938775510229</v>
      </c>
      <c r="C36" s="14"/>
      <c r="P36" t="s">
        <v>102</v>
      </c>
      <c r="Q36" s="32"/>
    </row>
    <row r="37" spans="1:18" ht="15" thickBot="1" x14ac:dyDescent="0.35">
      <c r="A37" s="15" t="s">
        <v>22</v>
      </c>
      <c r="B37" s="16">
        <f>Etablering!B25/Inddata!B36</f>
        <v>9.1193903023307339</v>
      </c>
      <c r="C37" s="17"/>
    </row>
    <row r="38" spans="1:18" x14ac:dyDescent="0.3">
      <c r="A38" s="110"/>
      <c r="B38" s="39"/>
      <c r="C38" s="40"/>
    </row>
    <row r="39" spans="1:18" x14ac:dyDescent="0.3">
      <c r="A39" s="110"/>
      <c r="B39" s="39"/>
      <c r="C39" s="40"/>
      <c r="P39" t="s">
        <v>34</v>
      </c>
    </row>
    <row r="40" spans="1:18" x14ac:dyDescent="0.3">
      <c r="A40" s="19" t="s">
        <v>46</v>
      </c>
      <c r="B40" s="5"/>
      <c r="C40" s="5"/>
      <c r="Q40" t="s">
        <v>37</v>
      </c>
    </row>
    <row r="41" spans="1:18" x14ac:dyDescent="0.3">
      <c r="A41" s="20" t="s">
        <v>47</v>
      </c>
      <c r="B41" s="5"/>
      <c r="C41" s="5"/>
      <c r="O41" t="s">
        <v>36</v>
      </c>
      <c r="P41" s="32">
        <f>IF(Q21=1,B28,"")</f>
        <v>1500</v>
      </c>
      <c r="Q41" s="32">
        <v>11</v>
      </c>
      <c r="R41" s="32">
        <f>((P41*Q41*B18/100)*3600)/1000000</f>
        <v>59.4</v>
      </c>
    </row>
    <row r="42" spans="1:18" x14ac:dyDescent="0.3">
      <c r="A42" s="5"/>
      <c r="B42" s="9"/>
      <c r="C42" s="5"/>
      <c r="O42" t="s">
        <v>25</v>
      </c>
      <c r="P42" s="32" t="str">
        <f>IF(Q21=2,B28,"")</f>
        <v/>
      </c>
      <c r="Q42" s="32">
        <v>10</v>
      </c>
      <c r="R42" s="32" t="e">
        <f>((P42*Q42*(B18/100))*3600)/1000000</f>
        <v>#VALUE!</v>
      </c>
    </row>
    <row r="43" spans="1:18" x14ac:dyDescent="0.3">
      <c r="A43" s="5" t="s">
        <v>50</v>
      </c>
      <c r="B43" s="9"/>
      <c r="C43" s="5"/>
      <c r="O43" t="s">
        <v>26</v>
      </c>
      <c r="P43" s="32" t="str">
        <f>IF(Q21=3,B28,"")</f>
        <v/>
      </c>
      <c r="Q43" s="32">
        <v>1</v>
      </c>
      <c r="R43" s="32" t="e">
        <f>((P43*Q43)*3600)/1000000</f>
        <v>#VALUE!</v>
      </c>
    </row>
    <row r="44" spans="1:18" x14ac:dyDescent="0.3">
      <c r="A44" s="5" t="s">
        <v>51</v>
      </c>
      <c r="B44" s="10"/>
      <c r="C44" s="5"/>
      <c r="O44" t="s">
        <v>97</v>
      </c>
      <c r="P44" s="32" t="str">
        <f>IF(Q21=4,B28,"")</f>
        <v/>
      </c>
      <c r="Q44" s="32">
        <v>4.9000000000000004</v>
      </c>
      <c r="R44" s="32" t="e">
        <f>((P44*Q44*B18/100)/1000)*3.6</f>
        <v>#VALUE!</v>
      </c>
    </row>
    <row r="45" spans="1:18" x14ac:dyDescent="0.3">
      <c r="A45" s="5" t="s">
        <v>77</v>
      </c>
      <c r="B45" s="5"/>
      <c r="C45" s="5"/>
      <c r="P45" s="32"/>
      <c r="Q45" s="32"/>
      <c r="R45" s="32"/>
    </row>
    <row r="46" spans="1:18" x14ac:dyDescent="0.3">
      <c r="A46" t="s">
        <v>117</v>
      </c>
      <c r="B46" s="5"/>
      <c r="C46" s="5"/>
      <c r="O46" t="s">
        <v>36</v>
      </c>
      <c r="P46" s="32">
        <f>(B28-650)/'Energipriser og omkostninger'!B7</f>
        <v>102.40963855421685</v>
      </c>
      <c r="Q46" s="32">
        <v>11</v>
      </c>
      <c r="R46" s="32">
        <f>((P46*Q46*(B18/100))*3600)/1000000</f>
        <v>4.0554216867469872</v>
      </c>
    </row>
    <row r="47" spans="1:18" x14ac:dyDescent="0.3">
      <c r="A47" s="6" t="s">
        <v>65</v>
      </c>
      <c r="B47" s="5"/>
      <c r="C47" s="5"/>
      <c r="O47" t="s">
        <v>25</v>
      </c>
      <c r="P47" s="32">
        <f>B28/'Energipriser og omkostninger'!B6</f>
        <v>141.50943396226415</v>
      </c>
      <c r="Q47" s="32">
        <v>10</v>
      </c>
      <c r="R47" s="32">
        <f>((P47*Q47*(B18/100))*3600)/1000000</f>
        <v>5.0943396226415105</v>
      </c>
    </row>
    <row r="48" spans="1:18" x14ac:dyDescent="0.3">
      <c r="B48" s="3"/>
      <c r="O48" t="s">
        <v>26</v>
      </c>
      <c r="P48" s="32">
        <f>B28/'Energipriser og omkostninger'!B11</f>
        <v>986.84210526315792</v>
      </c>
      <c r="Q48" s="32">
        <v>1</v>
      </c>
      <c r="R48" s="32">
        <f>((P48*Q48)*3600)/1000000</f>
        <v>3.5526315789473686</v>
      </c>
    </row>
    <row r="49" spans="1:18" x14ac:dyDescent="0.3">
      <c r="B49" s="3"/>
      <c r="O49" t="s">
        <v>97</v>
      </c>
      <c r="P49" s="32">
        <f>B28/'Energipriser og omkostninger'!B9</f>
        <v>789.47368421052636</v>
      </c>
      <c r="Q49" s="32">
        <v>4.9000000000000004</v>
      </c>
      <c r="R49" s="32">
        <f>((P49*Q49*B18/100)/1000)*3.6</f>
        <v>13.926315789473687</v>
      </c>
    </row>
    <row r="50" spans="1:18" x14ac:dyDescent="0.3">
      <c r="B50" s="4"/>
    </row>
    <row r="52" spans="1:18" x14ac:dyDescent="0.3">
      <c r="A52" s="1"/>
    </row>
    <row r="53" spans="1:18" x14ac:dyDescent="0.3">
      <c r="B53" s="3"/>
    </row>
    <row r="54" spans="1:18" x14ac:dyDescent="0.3">
      <c r="B54" s="3"/>
    </row>
    <row r="55" spans="1:18" x14ac:dyDescent="0.3">
      <c r="B55" s="4"/>
    </row>
    <row r="78" spans="5:5" x14ac:dyDescent="0.3">
      <c r="E78" s="2"/>
    </row>
  </sheetData>
  <sheetProtection algorithmName="SHA-512" hashValue="h8xe9PDPAi0FvS/8g2Qr9D3O+QYPMBy1e8/oGzSqHc0E8NMPZiMFmvdLDU0ebD/bZeeK33iIuK88WrRSZT30fA==" saltValue="0Z5o0emJoAChf0KAvnICkw==" spinCount="100000" sheet="1" objects="1" scenarios="1" selectLockedCell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nchor moveWithCells="1">
                  <from>
                    <xdr:col>0</xdr:col>
                    <xdr:colOff>2727960</xdr:colOff>
                    <xdr:row>12</xdr:row>
                    <xdr:rowOff>0</xdr:rowOff>
                  </from>
                  <to>
                    <xdr:col>1</xdr:col>
                    <xdr:colOff>0</xdr:colOff>
                    <xdr:row>13</xdr:row>
                    <xdr:rowOff>7620</xdr:rowOff>
                  </to>
                </anchor>
              </controlPr>
            </control>
          </mc:Choice>
        </mc:AlternateContent>
        <mc:AlternateContent xmlns:mc="http://schemas.openxmlformats.org/markup-compatibility/2006">
          <mc:Choice Requires="x14">
            <control shapeId="1028" r:id="rId5" name="Drop Down 4">
              <controlPr defaultSize="0" autoLine="0" autoPict="0">
                <anchor moveWithCells="1">
                  <from>
                    <xdr:col>0</xdr:col>
                    <xdr:colOff>2727960</xdr:colOff>
                    <xdr:row>26</xdr:row>
                    <xdr:rowOff>0</xdr:rowOff>
                  </from>
                  <to>
                    <xdr:col>1</xdr:col>
                    <xdr:colOff>0</xdr:colOff>
                    <xdr:row>27</xdr:row>
                    <xdr:rowOff>7620</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0</xdr:col>
                    <xdr:colOff>2727960</xdr:colOff>
                    <xdr:row>15</xdr:row>
                    <xdr:rowOff>182880</xdr:rowOff>
                  </from>
                  <to>
                    <xdr:col>1</xdr:col>
                    <xdr:colOff>0</xdr:colOff>
                    <xdr:row>17</xdr:row>
                    <xdr:rowOff>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0</xdr:col>
                    <xdr:colOff>2727960</xdr:colOff>
                    <xdr:row>17</xdr:row>
                    <xdr:rowOff>182880</xdr:rowOff>
                  </from>
                  <to>
                    <xdr:col>1</xdr:col>
                    <xdr:colOff>0</xdr:colOff>
                    <xdr:row>19</xdr:row>
                    <xdr:rowOff>0</xdr:rowOff>
                  </to>
                </anchor>
              </controlPr>
            </control>
          </mc:Choice>
        </mc:AlternateContent>
        <mc:AlternateContent xmlns:mc="http://schemas.openxmlformats.org/markup-compatibility/2006">
          <mc:Choice Requires="x14">
            <control shapeId="1031" r:id="rId8" name="Drop Down 7">
              <controlPr defaultSize="0" autoLine="0" autoPict="0">
                <anchor moveWithCells="1">
                  <from>
                    <xdr:col>0</xdr:col>
                    <xdr:colOff>2743200</xdr:colOff>
                    <xdr:row>20</xdr:row>
                    <xdr:rowOff>160020</xdr:rowOff>
                  </from>
                  <to>
                    <xdr:col>1</xdr:col>
                    <xdr:colOff>22860</xdr:colOff>
                    <xdr:row>21</xdr:row>
                    <xdr:rowOff>175260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38"/>
  <sheetViews>
    <sheetView workbookViewId="0">
      <selection activeCell="E32" sqref="E32"/>
    </sheetView>
  </sheetViews>
  <sheetFormatPr defaultRowHeight="14.4" x14ac:dyDescent="0.3"/>
  <cols>
    <col min="1" max="1" width="56.5546875" customWidth="1"/>
    <col min="2" max="2" width="18" customWidth="1"/>
    <col min="3" max="3" width="12.6640625" bestFit="1" customWidth="1"/>
    <col min="10" max="14" width="9.109375" hidden="1" customWidth="1"/>
  </cols>
  <sheetData>
    <row r="1" spans="1:3" ht="18" x14ac:dyDescent="0.35">
      <c r="A1" s="28" t="s">
        <v>52</v>
      </c>
      <c r="B1" t="s">
        <v>119</v>
      </c>
    </row>
    <row r="2" spans="1:3" x14ac:dyDescent="0.3">
      <c r="A2" t="str">
        <f>Inddata!A7</f>
        <v xml:space="preserve">Ejendommens adresse: </v>
      </c>
    </row>
    <row r="3" spans="1:3" ht="15" thickBot="1" x14ac:dyDescent="0.35"/>
    <row r="4" spans="1:3" x14ac:dyDescent="0.3">
      <c r="A4" s="82"/>
      <c r="B4" s="41"/>
      <c r="C4" s="42"/>
    </row>
    <row r="5" spans="1:3" x14ac:dyDescent="0.3">
      <c r="A5" s="43" t="s">
        <v>11</v>
      </c>
      <c r="B5" s="22"/>
      <c r="C5" s="44"/>
    </row>
    <row r="6" spans="1:3" x14ac:dyDescent="0.3">
      <c r="A6" s="45" t="s">
        <v>8</v>
      </c>
      <c r="B6" s="23">
        <v>10.6</v>
      </c>
      <c r="C6" s="46"/>
    </row>
    <row r="7" spans="1:3" ht="16.2" x14ac:dyDescent="0.3">
      <c r="A7" s="45" t="s">
        <v>105</v>
      </c>
      <c r="B7" s="23">
        <v>8.3000000000000007</v>
      </c>
      <c r="C7" s="47"/>
    </row>
    <row r="8" spans="1:3" x14ac:dyDescent="0.3">
      <c r="A8" s="45" t="s">
        <v>94</v>
      </c>
      <c r="B8" s="25">
        <v>650</v>
      </c>
      <c r="C8" s="46"/>
    </row>
    <row r="9" spans="1:3" x14ac:dyDescent="0.3">
      <c r="A9" s="45" t="s">
        <v>98</v>
      </c>
      <c r="B9" s="107">
        <v>1.9</v>
      </c>
      <c r="C9" s="46"/>
    </row>
    <row r="10" spans="1:3" x14ac:dyDescent="0.3">
      <c r="A10" s="45" t="s">
        <v>9</v>
      </c>
      <c r="B10" s="23">
        <v>2.2000000000000002</v>
      </c>
      <c r="C10" s="46"/>
    </row>
    <row r="11" spans="1:3" x14ac:dyDescent="0.3">
      <c r="A11" s="45" t="s">
        <v>10</v>
      </c>
      <c r="B11" s="24">
        <v>1.52</v>
      </c>
      <c r="C11" s="46"/>
    </row>
    <row r="12" spans="1:3" x14ac:dyDescent="0.3">
      <c r="A12" s="45" t="s">
        <v>96</v>
      </c>
      <c r="B12" s="24">
        <v>97.5</v>
      </c>
      <c r="C12" s="46"/>
    </row>
    <row r="13" spans="1:3" ht="16.2" x14ac:dyDescent="0.3">
      <c r="A13" s="60" t="s">
        <v>76</v>
      </c>
      <c r="B13" s="61">
        <v>3.75</v>
      </c>
      <c r="C13" s="62"/>
    </row>
    <row r="14" spans="1:3" x14ac:dyDescent="0.3">
      <c r="A14" s="45" t="s">
        <v>23</v>
      </c>
      <c r="B14" s="24">
        <v>325</v>
      </c>
      <c r="C14" s="46"/>
    </row>
    <row r="15" spans="1:3" ht="16.8" thickBot="1" x14ac:dyDescent="0.35">
      <c r="A15" s="63" t="s">
        <v>85</v>
      </c>
      <c r="B15" s="48">
        <v>12.5</v>
      </c>
      <c r="C15" s="49"/>
    </row>
    <row r="16" spans="1:3" ht="15" thickBot="1" x14ac:dyDescent="0.35">
      <c r="B16" s="21"/>
      <c r="C16" s="21"/>
    </row>
    <row r="17" spans="1:13" x14ac:dyDescent="0.3">
      <c r="A17" s="50" t="s">
        <v>1</v>
      </c>
      <c r="B17" s="51" t="s">
        <v>58</v>
      </c>
      <c r="C17" s="52" t="s">
        <v>59</v>
      </c>
      <c r="K17" t="s">
        <v>67</v>
      </c>
    </row>
    <row r="18" spans="1:13" x14ac:dyDescent="0.3">
      <c r="A18" s="45" t="s">
        <v>15</v>
      </c>
      <c r="B18" s="26">
        <f>IF(Inddata!Q32=2,'Energipriser og omkostninger'!M19,"")</f>
        <v>12450.000000000002</v>
      </c>
      <c r="C18" s="26" t="str">
        <f>IF(Inddata!Q32=1,'Energipriser og omkostninger'!M20,"")</f>
        <v/>
      </c>
    </row>
    <row r="19" spans="1:13" x14ac:dyDescent="0.3">
      <c r="A19" s="45" t="s">
        <v>16</v>
      </c>
      <c r="B19" s="26">
        <f>IF(AND(Inddata!Q21=1,Inddata!Q32=2),650,"")</f>
        <v>650</v>
      </c>
      <c r="C19" s="53" t="str">
        <f>IF(AND(Inddata!Q32=1,Inddata!Q21=1),650,"")</f>
        <v/>
      </c>
      <c r="F19" s="58"/>
      <c r="K19" t="s">
        <v>68</v>
      </c>
      <c r="M19" s="26">
        <f>IF(Inddata!Q21=1,Inddata!B28*'Energipriser og omkostninger'!B7,IF(Inddata!Q21=2,Inddata!B28*'Energipriser og omkostninger'!B6,IF(Inddata!Q21=3,Inddata!B28*'Energipriser og omkostninger'!B11,Inddata!B28*B9)))</f>
        <v>12450.000000000002</v>
      </c>
    </row>
    <row r="20" spans="1:13" x14ac:dyDescent="0.3">
      <c r="A20" s="45" t="s">
        <v>12</v>
      </c>
      <c r="B20" s="53">
        <f>IF(OR(Inddata!Q32=1,Inddata!Q21=3),"",1500)</f>
        <v>1500</v>
      </c>
      <c r="C20" s="53" t="str">
        <f>IF(OR(Inddata!Q32=2,Inddata!Q21=3),"",1875)</f>
        <v/>
      </c>
      <c r="K20" t="s">
        <v>69</v>
      </c>
      <c r="M20" s="53" t="str">
        <f>IF(Inddata!Q32=1,Inddata!B28,"")</f>
        <v/>
      </c>
    </row>
    <row r="21" spans="1:13" x14ac:dyDescent="0.3">
      <c r="A21" s="45" t="s">
        <v>17</v>
      </c>
      <c r="B21" s="26">
        <f>IF(Inddata!Q32=2,Inddata!B30*'Energipriser og omkostninger'!B10,"")</f>
        <v>534.6</v>
      </c>
      <c r="C21" s="53" t="str">
        <f>IF(Inddata!Q32=1,Inddata!B30*'Energipriser og omkostninger'!B10,"")</f>
        <v/>
      </c>
    </row>
    <row r="22" spans="1:13" x14ac:dyDescent="0.3">
      <c r="A22" s="45" t="s">
        <v>14</v>
      </c>
      <c r="B22" s="26">
        <f>IF(Inddata!Q32=2,2000,"")</f>
        <v>2000</v>
      </c>
      <c r="C22" s="53" t="str">
        <f>IF(Inddata!Q32=1,2000,"")</f>
        <v/>
      </c>
    </row>
    <row r="23" spans="1:13" ht="15" thickBot="1" x14ac:dyDescent="0.35">
      <c r="A23" s="54" t="s">
        <v>19</v>
      </c>
      <c r="B23" s="55">
        <f>SUM(B18:B22)</f>
        <v>17134.600000000002</v>
      </c>
      <c r="C23" s="56">
        <f>SUM(C18:C22)</f>
        <v>0</v>
      </c>
    </row>
    <row r="24" spans="1:13" ht="15" thickBot="1" x14ac:dyDescent="0.35"/>
    <row r="25" spans="1:13" x14ac:dyDescent="0.3">
      <c r="A25" s="50" t="s">
        <v>18</v>
      </c>
      <c r="B25" s="41"/>
      <c r="C25" s="42"/>
    </row>
    <row r="26" spans="1:13" x14ac:dyDescent="0.3">
      <c r="A26" s="45" t="s">
        <v>53</v>
      </c>
      <c r="B26" s="27">
        <f>Inddata!B33*'Energipriser og omkostninger'!B12</f>
        <v>5791.5</v>
      </c>
      <c r="C26" s="44"/>
    </row>
    <row r="27" spans="1:13" x14ac:dyDescent="0.3">
      <c r="A27" s="45" t="s">
        <v>61</v>
      </c>
      <c r="B27" s="27">
        <f>Inddata!B34*'Energipriser og omkostninger'!B13</f>
        <v>1515.3061224489795</v>
      </c>
      <c r="C27" s="44"/>
    </row>
    <row r="28" spans="1:13" x14ac:dyDescent="0.3">
      <c r="A28" s="45" t="s">
        <v>75</v>
      </c>
      <c r="B28" s="27">
        <f>B15*Inddata!B9+B15*0.25*Inddata!B10</f>
        <v>1625</v>
      </c>
      <c r="C28" s="44"/>
    </row>
    <row r="29" spans="1:13" x14ac:dyDescent="0.3">
      <c r="A29" s="45" t="s">
        <v>54</v>
      </c>
      <c r="B29" s="27">
        <v>300</v>
      </c>
      <c r="C29" s="44"/>
    </row>
    <row r="30" spans="1:13" x14ac:dyDescent="0.3">
      <c r="A30" s="45" t="s">
        <v>55</v>
      </c>
      <c r="B30" s="27">
        <f>'Energipriser og omkostninger'!B14</f>
        <v>325</v>
      </c>
      <c r="C30" s="44"/>
    </row>
    <row r="31" spans="1:13" x14ac:dyDescent="0.3">
      <c r="A31" s="60" t="s">
        <v>103</v>
      </c>
      <c r="B31" s="111" t="str">
        <f>IF(Inddata!Q35=2,243*'Energipriser og omkostninger'!B10,"0")</f>
        <v>0</v>
      </c>
      <c r="C31" s="109"/>
    </row>
    <row r="32" spans="1:13" ht="15" thickBot="1" x14ac:dyDescent="0.35">
      <c r="A32" s="54" t="s">
        <v>20</v>
      </c>
      <c r="B32" s="55">
        <f>SUM(B26:B31)</f>
        <v>9556.8061224489793</v>
      </c>
      <c r="C32" s="57"/>
    </row>
    <row r="34" spans="1:3" ht="15" thickBot="1" x14ac:dyDescent="0.35"/>
    <row r="35" spans="1:3" ht="15" thickBot="1" x14ac:dyDescent="0.35">
      <c r="A35" s="29" t="s">
        <v>56</v>
      </c>
      <c r="B35" s="30">
        <f>IF(Inddata!Q32=2,'Energipriser og omkostninger'!B23,'Energipriser og omkostninger'!C23)-B32</f>
        <v>7577.7938775510229</v>
      </c>
      <c r="C35" s="31" t="s">
        <v>57</v>
      </c>
    </row>
    <row r="37" spans="1:3" x14ac:dyDescent="0.3">
      <c r="A37" s="38" t="s">
        <v>63</v>
      </c>
    </row>
    <row r="38" spans="1:3" x14ac:dyDescent="0.3">
      <c r="A38" s="38" t="s">
        <v>62</v>
      </c>
    </row>
  </sheetData>
  <sheetProtection algorithmName="SHA-512" hashValue="GhUQE/XXzBwZq3VemPJuuqE+4NrXJosnzvDVTgya6qGQZ19bDZu0QQRAWy0n/BySoXzvZ5jDJFetkmc+P85r6w==" saltValue="Xu/2dbWLloScNOzshQBhL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C35"/>
  <sheetViews>
    <sheetView workbookViewId="0">
      <selection activeCell="D26" sqref="D26"/>
    </sheetView>
  </sheetViews>
  <sheetFormatPr defaultColWidth="9.109375" defaultRowHeight="14.4" x14ac:dyDescent="0.3"/>
  <cols>
    <col min="1" max="1" width="57.44140625" style="64" customWidth="1"/>
    <col min="2" max="2" width="19.5546875" style="64" customWidth="1"/>
    <col min="3" max="3" width="4.5546875" style="64" customWidth="1"/>
    <col min="4" max="4" width="36.33203125" style="64" customWidth="1"/>
    <col min="5" max="16384" width="9.109375" style="64"/>
  </cols>
  <sheetData>
    <row r="1" spans="1:3" ht="18" x14ac:dyDescent="0.35">
      <c r="A1" s="86" t="s">
        <v>93</v>
      </c>
    </row>
    <row r="2" spans="1:3" x14ac:dyDescent="0.3">
      <c r="A2" s="64" t="str">
        <f>Inddata!A7</f>
        <v xml:space="preserve">Ejendommens adresse: </v>
      </c>
    </row>
    <row r="5" spans="1:3" ht="18.600000000000001" thickBot="1" x14ac:dyDescent="0.4">
      <c r="A5" s="66" t="s">
        <v>82</v>
      </c>
    </row>
    <row r="6" spans="1:3" x14ac:dyDescent="0.3">
      <c r="A6" s="77" t="s">
        <v>4</v>
      </c>
      <c r="B6" s="81">
        <f>115*(Inddata!B9+0.25*Inddata!B10)</f>
        <v>14950</v>
      </c>
      <c r="C6" s="76" t="s">
        <v>32</v>
      </c>
    </row>
    <row r="7" spans="1:3" x14ac:dyDescent="0.3">
      <c r="A7" s="71" t="s">
        <v>64</v>
      </c>
      <c r="B7" s="67">
        <f>IF(Inddata!B9&lt;70,6887.5,(((Inddata!B9+0.25*Inddata!B10)-70)*23.92+5510)*1.25)</f>
        <v>8681.5</v>
      </c>
      <c r="C7" s="72" t="s">
        <v>32</v>
      </c>
    </row>
    <row r="8" spans="1:3" x14ac:dyDescent="0.3">
      <c r="A8" s="71" t="s">
        <v>5</v>
      </c>
      <c r="B8" s="67">
        <f>Inddata!B11*830</f>
        <v>12450</v>
      </c>
      <c r="C8" s="72" t="s">
        <v>32</v>
      </c>
    </row>
    <row r="9" spans="1:3" x14ac:dyDescent="0.3">
      <c r="A9" s="71" t="s">
        <v>6</v>
      </c>
      <c r="B9" s="67">
        <f>1595*1.25</f>
        <v>1993.75</v>
      </c>
      <c r="C9" s="72" t="s">
        <v>32</v>
      </c>
    </row>
    <row r="10" spans="1:3" x14ac:dyDescent="0.3">
      <c r="A10" s="118" t="s">
        <v>112</v>
      </c>
      <c r="B10" s="119">
        <f>IF(Inddata!$Q$21=1,4945.36,"")</f>
        <v>4945.3599999999997</v>
      </c>
      <c r="C10" s="120" t="s">
        <v>32</v>
      </c>
    </row>
    <row r="11" spans="1:3" ht="15" thickBot="1" x14ac:dyDescent="0.35">
      <c r="A11" s="73" t="s">
        <v>78</v>
      </c>
      <c r="B11" s="74">
        <f>SUM(B6:B10)</f>
        <v>43020.61</v>
      </c>
      <c r="C11" s="75" t="s">
        <v>32</v>
      </c>
    </row>
    <row r="12" spans="1:3" x14ac:dyDescent="0.3">
      <c r="B12" s="65"/>
    </row>
    <row r="13" spans="1:3" ht="18.600000000000001" thickBot="1" x14ac:dyDescent="0.4">
      <c r="A13" s="66" t="s">
        <v>79</v>
      </c>
      <c r="B13" s="58"/>
    </row>
    <row r="14" spans="1:3" x14ac:dyDescent="0.3">
      <c r="A14" s="68" t="s">
        <v>81</v>
      </c>
      <c r="B14" s="69">
        <f>-1*IF(Inddata!Q21=1,2700,IF(Inddata!Q21=2,7347*1.5*0.3,IF(Inddata!Q21=3,24888*0.3)))</f>
        <v>-2700</v>
      </c>
      <c r="C14" s="70" t="s">
        <v>32</v>
      </c>
    </row>
    <row r="15" spans="1:3" ht="15" thickBot="1" x14ac:dyDescent="0.35">
      <c r="A15" s="102" t="s">
        <v>95</v>
      </c>
      <c r="B15" s="103">
        <f>B7*-0.5</f>
        <v>-4340.75</v>
      </c>
      <c r="C15" s="75" t="s">
        <v>32</v>
      </c>
    </row>
    <row r="16" spans="1:3" x14ac:dyDescent="0.3">
      <c r="A16" s="84"/>
      <c r="B16" s="85"/>
    </row>
    <row r="17" spans="1:3" ht="15" thickBot="1" x14ac:dyDescent="0.35">
      <c r="A17" s="104" t="s">
        <v>86</v>
      </c>
      <c r="B17" s="105">
        <f>SUM(B11:B15)</f>
        <v>35979.86</v>
      </c>
      <c r="C17" s="104" t="s">
        <v>32</v>
      </c>
    </row>
    <row r="18" spans="1:3" ht="15" thickTop="1" x14ac:dyDescent="0.3">
      <c r="A18" s="84"/>
      <c r="B18" s="85"/>
    </row>
    <row r="19" spans="1:3" ht="18.600000000000001" thickBot="1" x14ac:dyDescent="0.4">
      <c r="A19" s="86" t="s">
        <v>87</v>
      </c>
    </row>
    <row r="20" spans="1:3" x14ac:dyDescent="0.3">
      <c r="A20" s="87" t="s">
        <v>83</v>
      </c>
      <c r="B20" s="81">
        <f>IF(Inddata!Q21=1,8125,IF(Inddata!Q21=2,5000,""))</f>
        <v>8125</v>
      </c>
      <c r="C20" s="76" t="s">
        <v>32</v>
      </c>
    </row>
    <row r="21" spans="1:3" ht="15" customHeight="1" x14ac:dyDescent="0.3">
      <c r="A21" s="71" t="s">
        <v>7</v>
      </c>
      <c r="B21" s="101">
        <f>Inddata!B24</f>
        <v>25000</v>
      </c>
      <c r="C21" s="72" t="s">
        <v>32</v>
      </c>
    </row>
    <row r="22" spans="1:3" ht="15" thickBot="1" x14ac:dyDescent="0.35">
      <c r="A22" s="78" t="s">
        <v>80</v>
      </c>
      <c r="B22" s="79">
        <f>SUM(B20:B21)</f>
        <v>33125</v>
      </c>
      <c r="C22" s="75" t="s">
        <v>32</v>
      </c>
    </row>
    <row r="23" spans="1:3" ht="15" thickBot="1" x14ac:dyDescent="0.35">
      <c r="A23" s="83"/>
      <c r="B23" s="58"/>
    </row>
    <row r="24" spans="1:3" ht="21.6" thickBot="1" x14ac:dyDescent="0.45">
      <c r="A24" s="112" t="s">
        <v>110</v>
      </c>
      <c r="B24" s="113">
        <f>B25*0.05</f>
        <v>3455.2430000000004</v>
      </c>
      <c r="C24" s="114" t="s">
        <v>32</v>
      </c>
    </row>
    <row r="25" spans="1:3" ht="15" thickBot="1" x14ac:dyDescent="0.35">
      <c r="A25" s="115" t="str">
        <f>IF(B21&gt;0,"I alt inkl. eget VVS Arbejde, kontant","I alt inkl.")</f>
        <v>I alt inkl. eget VVS Arbejde, kontant</v>
      </c>
      <c r="B25" s="116">
        <f>SUM(B17+B22)</f>
        <v>69104.86</v>
      </c>
      <c r="C25" s="117" t="s">
        <v>32</v>
      </c>
    </row>
    <row r="26" spans="1:3" x14ac:dyDescent="0.3">
      <c r="B26" s="58"/>
    </row>
    <row r="27" spans="1:3" x14ac:dyDescent="0.3">
      <c r="A27" s="84" t="s">
        <v>116</v>
      </c>
    </row>
    <row r="28" spans="1:3" x14ac:dyDescent="0.3">
      <c r="A28" s="64" t="s">
        <v>115</v>
      </c>
    </row>
    <row r="29" spans="1:3" ht="63" customHeight="1" x14ac:dyDescent="0.3">
      <c r="A29" s="154" t="s">
        <v>114</v>
      </c>
      <c r="B29" s="154"/>
      <c r="C29" s="155"/>
    </row>
    <row r="30" spans="1:3" ht="44.25" customHeight="1" x14ac:dyDescent="0.3">
      <c r="A30" s="154"/>
      <c r="B30" s="154"/>
      <c r="C30" s="155"/>
    </row>
    <row r="31" spans="1:3" ht="51" customHeight="1" x14ac:dyDescent="0.35">
      <c r="A31" s="156" t="str">
        <f>IF(Inddata!$Q$21=3,"BEMÆRK !!! Ved elvarme skal der opbygges vandbåret system, udgiften til dette ska indhentes separat ved VVS firma","")</f>
        <v/>
      </c>
      <c r="B31" s="154"/>
      <c r="C31" s="154"/>
    </row>
    <row r="32" spans="1:3" ht="48" customHeight="1" x14ac:dyDescent="0.3">
      <c r="A32" s="106"/>
    </row>
    <row r="33" spans="1:1" ht="96" customHeight="1" x14ac:dyDescent="0.3">
      <c r="A33" s="100"/>
    </row>
    <row r="34" spans="1:1" ht="113.25" customHeight="1" x14ac:dyDescent="0.3"/>
    <row r="35" spans="1:1" ht="95.25" customHeight="1" x14ac:dyDescent="0.3"/>
  </sheetData>
  <sheetProtection algorithmName="SHA-512" hashValue="vKjkPblwPIN4wdRgSeu7v2I/VK32dGr9fNbXXIo6BxXs574fjYONb7SlawwqZeWQykW0evoZoLkA4AUwp5zbWQ==" saltValue="ZxyOO4d+4iXXv2Jhn41KKw==" spinCount="100000" sheet="1" objects="1" scenarios="1"/>
  <mergeCells count="3">
    <mergeCell ref="A30:C30"/>
    <mergeCell ref="A29:C29"/>
    <mergeCell ref="A31:C3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25" sqref="A25"/>
    </sheetView>
  </sheetViews>
  <sheetFormatPr defaultRowHeight="14.4" x14ac:dyDescent="0.3"/>
  <cols>
    <col min="1" max="1" width="57.44140625" customWidth="1"/>
    <col min="2" max="2" width="19.5546875" customWidth="1"/>
    <col min="3" max="3" width="4.5546875" customWidth="1"/>
  </cols>
  <sheetData>
    <row r="1" spans="1:5" ht="18" x14ac:dyDescent="0.35">
      <c r="A1" s="86" t="s">
        <v>120</v>
      </c>
      <c r="B1" s="64"/>
      <c r="C1" s="64"/>
    </row>
    <row r="2" spans="1:5" x14ac:dyDescent="0.3">
      <c r="A2" s="64" t="str">
        <f>[1]Inddata!A7</f>
        <v xml:space="preserve">Ejendommens adresse: </v>
      </c>
      <c r="B2" s="64"/>
      <c r="C2" s="64"/>
    </row>
    <row r="3" spans="1:5" x14ac:dyDescent="0.3">
      <c r="A3" s="64"/>
      <c r="B3" s="64"/>
      <c r="C3" s="64"/>
    </row>
    <row r="4" spans="1:5" ht="18" x14ac:dyDescent="0.35">
      <c r="A4" s="66" t="s">
        <v>82</v>
      </c>
      <c r="B4" s="64"/>
      <c r="C4" s="64"/>
    </row>
    <row r="5" spans="1:5" ht="15" thickBot="1" x14ac:dyDescent="0.35">
      <c r="A5" s="64"/>
      <c r="B5" s="64"/>
      <c r="C5" s="64"/>
    </row>
    <row r="6" spans="1:5" x14ac:dyDescent="0.3">
      <c r="A6" s="77" t="s">
        <v>64</v>
      </c>
      <c r="B6" s="81">
        <f>Etablering!B7</f>
        <v>8681.5</v>
      </c>
      <c r="C6" s="76" t="s">
        <v>32</v>
      </c>
    </row>
    <row r="7" spans="1:5" x14ac:dyDescent="0.3">
      <c r="A7" s="71" t="s">
        <v>5</v>
      </c>
      <c r="B7" s="67">
        <f>Etablering!B8</f>
        <v>12450</v>
      </c>
      <c r="C7" s="72" t="s">
        <v>32</v>
      </c>
    </row>
    <row r="8" spans="1:5" x14ac:dyDescent="0.3">
      <c r="A8" s="71" t="s">
        <v>6</v>
      </c>
      <c r="B8" s="67">
        <f>1595*1.25</f>
        <v>1993.75</v>
      </c>
      <c r="C8" s="72" t="s">
        <v>32</v>
      </c>
    </row>
    <row r="9" spans="1:5" ht="15" thickBot="1" x14ac:dyDescent="0.35">
      <c r="A9" s="73" t="s">
        <v>121</v>
      </c>
      <c r="B9" s="74">
        <f>SUM(B5:B8)</f>
        <v>23125.25</v>
      </c>
      <c r="C9" s="75" t="s">
        <v>32</v>
      </c>
    </row>
    <row r="10" spans="1:5" x14ac:dyDescent="0.3">
      <c r="A10" s="64"/>
      <c r="B10" s="65"/>
      <c r="C10" s="64"/>
    </row>
    <row r="11" spans="1:5" ht="18.600000000000001" thickBot="1" x14ac:dyDescent="0.4">
      <c r="A11" s="66" t="s">
        <v>122</v>
      </c>
      <c r="B11" s="58"/>
      <c r="C11" s="64"/>
    </row>
    <row r="12" spans="1:5" x14ac:dyDescent="0.3">
      <c r="A12" s="91" t="s">
        <v>95</v>
      </c>
      <c r="B12" s="93">
        <f>B6*-0.5</f>
        <v>-4340.75</v>
      </c>
      <c r="C12" s="94" t="s">
        <v>32</v>
      </c>
    </row>
    <row r="13" spans="1:5" ht="15" thickBot="1" x14ac:dyDescent="0.35">
      <c r="A13" s="73" t="s">
        <v>86</v>
      </c>
      <c r="B13" s="74">
        <f>SUM(B9:B12)</f>
        <v>18784.5</v>
      </c>
      <c r="C13" s="121" t="s">
        <v>32</v>
      </c>
    </row>
    <row r="14" spans="1:5" x14ac:dyDescent="0.3">
      <c r="A14" s="84"/>
      <c r="B14" s="85"/>
      <c r="C14" s="64"/>
    </row>
    <row r="15" spans="1:5" ht="18.600000000000001" thickBot="1" x14ac:dyDescent="0.4">
      <c r="A15" s="86" t="s">
        <v>123</v>
      </c>
      <c r="B15" s="64"/>
      <c r="C15" s="64"/>
    </row>
    <row r="16" spans="1:5" ht="15" thickBot="1" x14ac:dyDescent="0.35">
      <c r="A16" s="77" t="s">
        <v>4</v>
      </c>
      <c r="B16" s="81">
        <f>Etablering!B6</f>
        <v>14950</v>
      </c>
      <c r="C16" s="76" t="s">
        <v>32</v>
      </c>
      <c r="E16" s="153"/>
    </row>
    <row r="17" spans="1:3" x14ac:dyDescent="0.3">
      <c r="A17" s="95" t="s">
        <v>211</v>
      </c>
      <c r="B17" s="65">
        <f>Etablering!B10</f>
        <v>4945.3599999999997</v>
      </c>
      <c r="C17" s="76" t="s">
        <v>32</v>
      </c>
    </row>
    <row r="18" spans="1:3" ht="15" thickBot="1" x14ac:dyDescent="0.35">
      <c r="A18" s="122" t="s">
        <v>80</v>
      </c>
      <c r="B18" s="123">
        <f>SUM(B16:B17)</f>
        <v>19895.36</v>
      </c>
      <c r="C18" s="121" t="s">
        <v>32</v>
      </c>
    </row>
    <row r="19" spans="1:3" x14ac:dyDescent="0.3">
      <c r="A19" s="124" t="s">
        <v>124</v>
      </c>
      <c r="B19" s="58"/>
      <c r="C19" s="64"/>
    </row>
    <row r="20" spans="1:3" x14ac:dyDescent="0.3">
      <c r="A20" s="64"/>
      <c r="B20" s="64"/>
      <c r="C20" s="64"/>
    </row>
    <row r="21" spans="1:3" x14ac:dyDescent="0.3">
      <c r="A21" s="64" t="s">
        <v>125</v>
      </c>
      <c r="B21" s="64"/>
      <c r="C21" s="64"/>
    </row>
    <row r="22" spans="1:3" x14ac:dyDescent="0.3">
      <c r="A22" s="154" t="s">
        <v>126</v>
      </c>
      <c r="B22" s="154"/>
      <c r="C22" s="155"/>
    </row>
    <row r="23" spans="1:3" x14ac:dyDescent="0.3">
      <c r="A23" s="154"/>
      <c r="B23" s="154"/>
      <c r="C23" s="155"/>
    </row>
    <row r="24" spans="1:3" ht="36.75" customHeight="1" x14ac:dyDescent="0.35">
      <c r="A24" s="156" t="str">
        <f>IF(Inddata!$Q$21=3,"BEMÆRK !!! Ved elvarme skal der opbygges vandbåret system, udgiften til dette ska indhentes separat ved VVS firma","")</f>
        <v/>
      </c>
      <c r="B24" s="154"/>
      <c r="C24" s="154"/>
    </row>
  </sheetData>
  <sheetProtection algorithmName="SHA-512" hashValue="SrQpCOwRs6ix0SBo8yD55z2iglXxO9lf6XipBu0KaFqfsa4rL5nxwiTrKD6F2cATI8Lq8cxLybbbPTnzQPORZA==" saltValue="MCGfROMFGTXWvZZcWz926Q==" spinCount="100000" sheet="1" objects="1" scenarios="1"/>
  <mergeCells count="3">
    <mergeCell ref="A22:C22"/>
    <mergeCell ref="A23:C23"/>
    <mergeCell ref="A24:C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workbookViewId="0">
      <selection activeCell="G25" sqref="G25"/>
    </sheetView>
  </sheetViews>
  <sheetFormatPr defaultRowHeight="14.4" x14ac:dyDescent="0.3"/>
  <cols>
    <col min="2" max="2" width="12.44140625" customWidth="1"/>
    <col min="6" max="6" width="15.5546875" customWidth="1"/>
    <col min="10" max="15" width="9.109375" hidden="1" customWidth="1"/>
  </cols>
  <sheetData>
    <row r="1" spans="1:15" ht="18" x14ac:dyDescent="0.35">
      <c r="A1" s="28" t="s">
        <v>127</v>
      </c>
    </row>
    <row r="2" spans="1:15" x14ac:dyDescent="0.3">
      <c r="A2" s="38" t="s">
        <v>128</v>
      </c>
    </row>
    <row r="3" spans="1:15" ht="15" thickBot="1" x14ac:dyDescent="0.35">
      <c r="A3" s="38" t="s">
        <v>129</v>
      </c>
    </row>
    <row r="4" spans="1:15" x14ac:dyDescent="0.3">
      <c r="A4" s="125" t="s">
        <v>130</v>
      </c>
      <c r="B4" s="126"/>
      <c r="C4" s="127">
        <f>Etablering!B24</f>
        <v>3455.2430000000004</v>
      </c>
      <c r="D4" s="128" t="s">
        <v>32</v>
      </c>
    </row>
    <row r="5" spans="1:15" x14ac:dyDescent="0.3">
      <c r="A5" s="129"/>
      <c r="B5" s="130"/>
      <c r="C5" s="131"/>
      <c r="D5" s="132"/>
    </row>
    <row r="6" spans="1:15" ht="15" thickBot="1" x14ac:dyDescent="0.35">
      <c r="A6" s="133" t="s">
        <v>131</v>
      </c>
      <c r="B6" s="134"/>
      <c r="C6" s="135">
        <f>Etablering!B25*0.95</f>
        <v>65649.616999999998</v>
      </c>
      <c r="D6" s="136" t="s">
        <v>32</v>
      </c>
    </row>
    <row r="7" spans="1:15" ht="15" thickBot="1" x14ac:dyDescent="0.35"/>
    <row r="8" spans="1:15" ht="15" thickBot="1" x14ac:dyDescent="0.35">
      <c r="C8" s="157" t="s">
        <v>132</v>
      </c>
      <c r="D8" s="158"/>
      <c r="E8" s="157" t="s">
        <v>133</v>
      </c>
      <c r="F8" s="159"/>
    </row>
    <row r="9" spans="1:15" x14ac:dyDescent="0.3">
      <c r="A9" s="137" t="s">
        <v>134</v>
      </c>
      <c r="B9" s="42"/>
      <c r="C9" s="138">
        <f>E9*4</f>
        <v>7162.6524059258436</v>
      </c>
      <c r="D9" s="139" t="s">
        <v>32</v>
      </c>
      <c r="E9" s="138">
        <f>C6*E13</f>
        <v>1790.6631014814609</v>
      </c>
      <c r="F9" s="47" t="s">
        <v>32</v>
      </c>
    </row>
    <row r="10" spans="1:15" x14ac:dyDescent="0.3">
      <c r="A10" s="45" t="s">
        <v>135</v>
      </c>
      <c r="B10" s="44"/>
      <c r="C10" s="95">
        <f>K14</f>
        <v>11</v>
      </c>
      <c r="D10" s="47" t="s">
        <v>136</v>
      </c>
      <c r="E10" s="95">
        <f>C10*4</f>
        <v>44</v>
      </c>
      <c r="F10" s="47" t="s">
        <v>137</v>
      </c>
    </row>
    <row r="11" spans="1:15" x14ac:dyDescent="0.3">
      <c r="A11" s="45" t="s">
        <v>138</v>
      </c>
      <c r="B11" s="44"/>
      <c r="C11" s="140">
        <f>IF(K14=4,2.8,IF(K14=5,2.9,IF(K14=6,3,IF(K14=7,3.1,IF(K14=8,3.2,IF(K14=9,3.2,IF(K14=10,3.3,IF(K14=11,3.4,IF(K14=12,3.5,IF(K14=13,3.6,IF(K14=14,3.7,3.8)))))))))))/100</f>
        <v>3.4000000000000002E-2</v>
      </c>
      <c r="D11" s="47"/>
      <c r="E11" s="140">
        <f>(1+C11)^(1/4)-1</f>
        <v>8.3937254420483054E-3</v>
      </c>
      <c r="F11" s="47"/>
      <c r="M11" s="141" t="s">
        <v>139</v>
      </c>
      <c r="N11" s="142" t="s">
        <v>140</v>
      </c>
    </row>
    <row r="12" spans="1:15" x14ac:dyDescent="0.3">
      <c r="A12" s="45" t="s">
        <v>141</v>
      </c>
      <c r="B12" s="44"/>
      <c r="C12" s="143">
        <f>(1-(1+C11)^-C10)/C11</f>
        <v>9.0509497656077045</v>
      </c>
      <c r="D12" s="47"/>
      <c r="E12" s="143">
        <f>(1-(1+E11)^-E10)/E11</f>
        <v>36.662182264037497</v>
      </c>
      <c r="F12" s="47"/>
      <c r="J12" t="s">
        <v>142</v>
      </c>
      <c r="M12" s="144">
        <v>2.8</v>
      </c>
      <c r="N12" s="145">
        <v>4</v>
      </c>
    </row>
    <row r="13" spans="1:15" x14ac:dyDescent="0.3">
      <c r="A13" s="45" t="s">
        <v>143</v>
      </c>
      <c r="B13" s="44"/>
      <c r="C13" s="143">
        <f>1/C12</f>
        <v>0.11048564249023399</v>
      </c>
      <c r="D13" s="47"/>
      <c r="E13" s="143">
        <f>1/E12</f>
        <v>2.727606318680368E-2</v>
      </c>
      <c r="F13" s="47"/>
      <c r="M13" s="144">
        <v>2.9</v>
      </c>
      <c r="N13" s="145">
        <v>5</v>
      </c>
    </row>
    <row r="14" spans="1:15" ht="15" thickBot="1" x14ac:dyDescent="0.35">
      <c r="A14" s="146" t="s">
        <v>144</v>
      </c>
      <c r="B14" s="57"/>
      <c r="C14" s="147">
        <f>(1+E14)^4-1</f>
        <v>3.400000000005865E-2</v>
      </c>
      <c r="D14" s="99"/>
      <c r="E14" s="147">
        <f>IRR(F18:F78)</f>
        <v>8.3937254420625163E-3</v>
      </c>
      <c r="F14" s="99"/>
      <c r="K14">
        <f>IF(Inddata!B37&lt;4,4,IF(Inddata!B37&lt;6,7,IF(Inddata!B37&lt;7,8,IF(Inddata!B37&lt;8,9,IF(Inddata!B37&lt;9,10,IF(Inddata!B37&lt;10,11,IF(Inddata!B37&lt;11,12,IF(Inddata!B37&lt;12,13,IF(Inddata!B37&lt;13,14,IF(Inddata!B37&lt;15,15,O23))))))))))</f>
        <v>11</v>
      </c>
      <c r="N14" s="144">
        <v>3</v>
      </c>
      <c r="O14" s="145">
        <v>6</v>
      </c>
    </row>
    <row r="15" spans="1:15" x14ac:dyDescent="0.3">
      <c r="N15" s="144">
        <v>3.1</v>
      </c>
      <c r="O15" s="145">
        <v>7</v>
      </c>
    </row>
    <row r="16" spans="1:15" ht="15" thickBot="1" x14ac:dyDescent="0.35">
      <c r="N16" s="144">
        <v>3.2</v>
      </c>
      <c r="O16" s="145">
        <v>8</v>
      </c>
    </row>
    <row r="17" spans="1:15" x14ac:dyDescent="0.3">
      <c r="A17" s="137" t="s">
        <v>145</v>
      </c>
      <c r="B17" s="41" t="s">
        <v>146</v>
      </c>
      <c r="C17" s="41" t="s">
        <v>147</v>
      </c>
      <c r="D17" s="41" t="s">
        <v>148</v>
      </c>
      <c r="E17" s="41" t="s">
        <v>134</v>
      </c>
      <c r="F17" s="148" t="s">
        <v>149</v>
      </c>
      <c r="N17" s="144">
        <v>3.2</v>
      </c>
      <c r="O17" s="145">
        <v>9</v>
      </c>
    </row>
    <row r="18" spans="1:15" x14ac:dyDescent="0.3">
      <c r="A18" s="45" t="s">
        <v>150</v>
      </c>
      <c r="B18" s="149">
        <f>C6</f>
        <v>65649.616999999998</v>
      </c>
      <c r="C18" s="149"/>
      <c r="D18" s="149"/>
      <c r="E18" s="22"/>
      <c r="F18" s="150">
        <f>B18</f>
        <v>65649.616999999998</v>
      </c>
      <c r="N18" s="144">
        <v>3.3</v>
      </c>
      <c r="O18" s="145">
        <v>10</v>
      </c>
    </row>
    <row r="19" spans="1:15" x14ac:dyDescent="0.3">
      <c r="A19" s="45" t="s">
        <v>151</v>
      </c>
      <c r="B19" s="149">
        <f>B18-D19</f>
        <v>64409.998758992166</v>
      </c>
      <c r="C19" s="149">
        <f>B18*$E$11</f>
        <v>551.04486047362695</v>
      </c>
      <c r="D19" s="149">
        <f t="shared" ref="D19:D78" si="0">E19-C19</f>
        <v>1239.6182410078341</v>
      </c>
      <c r="E19" s="149">
        <f>$E$9</f>
        <v>1790.6631014814609</v>
      </c>
      <c r="F19" s="150">
        <f>-1*E19</f>
        <v>-1790.6631014814609</v>
      </c>
      <c r="N19" s="144">
        <v>3.4</v>
      </c>
      <c r="O19" s="145">
        <v>11</v>
      </c>
    </row>
    <row r="20" spans="1:15" x14ac:dyDescent="0.3">
      <c r="A20" s="45" t="s">
        <v>152</v>
      </c>
      <c r="B20" s="149">
        <f t="shared" ref="B20:B78" si="1">B19-D20</f>
        <v>63159.975502816356</v>
      </c>
      <c r="C20" s="149">
        <f t="shared" ref="C20:C78" si="2">B19*$E$11</f>
        <v>540.63984530565233</v>
      </c>
      <c r="D20" s="149">
        <f t="shared" si="0"/>
        <v>1250.0232561758085</v>
      </c>
      <c r="E20" s="149">
        <f>$E$9</f>
        <v>1790.6631014814609</v>
      </c>
      <c r="F20" s="150">
        <f t="shared" ref="F20:F78" si="3">-1*E20</f>
        <v>-1790.6631014814609</v>
      </c>
      <c r="N20" s="144">
        <v>3.5</v>
      </c>
      <c r="O20" s="145">
        <v>12</v>
      </c>
    </row>
    <row r="21" spans="1:15" x14ac:dyDescent="0.3">
      <c r="A21" s="45" t="s">
        <v>153</v>
      </c>
      <c r="B21" s="149">
        <f t="shared" si="1"/>
        <v>61899.459894632033</v>
      </c>
      <c r="C21" s="149">
        <f t="shared" si="2"/>
        <v>530.14749329713732</v>
      </c>
      <c r="D21" s="149">
        <f t="shared" si="0"/>
        <v>1260.5156081843236</v>
      </c>
      <c r="E21" s="149">
        <f>$E$9</f>
        <v>1790.6631014814609</v>
      </c>
      <c r="F21" s="150">
        <f t="shared" si="3"/>
        <v>-1790.6631014814609</v>
      </c>
      <c r="N21" s="144">
        <v>3.6</v>
      </c>
      <c r="O21" s="145">
        <v>13</v>
      </c>
    </row>
    <row r="22" spans="1:15" x14ac:dyDescent="0.3">
      <c r="A22" s="45" t="s">
        <v>154</v>
      </c>
      <c r="B22" s="149">
        <f t="shared" si="1"/>
        <v>60628.363864517196</v>
      </c>
      <c r="C22" s="149">
        <f t="shared" si="2"/>
        <v>519.56707136662158</v>
      </c>
      <c r="D22" s="149">
        <f t="shared" si="0"/>
        <v>1271.0960301148393</v>
      </c>
      <c r="E22" s="149">
        <f>$E$9</f>
        <v>1790.6631014814609</v>
      </c>
      <c r="F22" s="150">
        <f t="shared" si="3"/>
        <v>-1790.6631014814609</v>
      </c>
      <c r="N22" s="144">
        <v>3.7</v>
      </c>
      <c r="O22" s="145">
        <v>14</v>
      </c>
    </row>
    <row r="23" spans="1:15" x14ac:dyDescent="0.3">
      <c r="A23" s="45" t="s">
        <v>155</v>
      </c>
      <c r="B23" s="149">
        <f t="shared" si="1"/>
        <v>59346.598603315098</v>
      </c>
      <c r="C23" s="149">
        <f t="shared" si="2"/>
        <v>508.89784027936008</v>
      </c>
      <c r="D23" s="149">
        <f t="shared" si="0"/>
        <v>1281.7652612021009</v>
      </c>
      <c r="E23" s="149">
        <f>$E$9</f>
        <v>1790.6631014814609</v>
      </c>
      <c r="F23" s="150">
        <f t="shared" si="3"/>
        <v>-1790.6631014814609</v>
      </c>
      <c r="N23" s="144">
        <v>3.8</v>
      </c>
      <c r="O23" s="145">
        <v>15</v>
      </c>
    </row>
    <row r="24" spans="1:15" x14ac:dyDescent="0.3">
      <c r="A24" s="45" t="s">
        <v>156</v>
      </c>
      <c r="B24" s="149">
        <f t="shared" si="1"/>
        <v>58054.07455642931</v>
      </c>
      <c r="C24" s="149">
        <f t="shared" si="2"/>
        <v>498.13905459567439</v>
      </c>
      <c r="D24" s="149">
        <f t="shared" si="0"/>
        <v>1292.5240468857864</v>
      </c>
      <c r="E24" s="149">
        <f t="shared" ref="E24:E58" si="4">IF(B23&lt;1,0,IF(B23=0,0,$E$9))</f>
        <v>1790.6631014814609</v>
      </c>
      <c r="F24" s="150">
        <f t="shared" si="3"/>
        <v>-1790.6631014814609</v>
      </c>
    </row>
    <row r="25" spans="1:15" x14ac:dyDescent="0.3">
      <c r="A25" s="45" t="s">
        <v>157</v>
      </c>
      <c r="B25" s="149">
        <f t="shared" si="1"/>
        <v>56750.701417566721</v>
      </c>
      <c r="C25" s="149">
        <f t="shared" si="2"/>
        <v>487.28996261886988</v>
      </c>
      <c r="D25" s="149">
        <f t="shared" si="0"/>
        <v>1303.3731388625911</v>
      </c>
      <c r="E25" s="149">
        <f t="shared" si="4"/>
        <v>1790.6631014814609</v>
      </c>
      <c r="F25" s="150">
        <f t="shared" si="3"/>
        <v>-1790.6631014814609</v>
      </c>
    </row>
    <row r="26" spans="1:15" x14ac:dyDescent="0.3">
      <c r="A26" s="45" t="s">
        <v>158</v>
      </c>
      <c r="B26" s="149">
        <f t="shared" si="1"/>
        <v>55436.388122427976</v>
      </c>
      <c r="C26" s="149">
        <f t="shared" si="2"/>
        <v>476.34980634271659</v>
      </c>
      <c r="D26" s="149">
        <f t="shared" si="0"/>
        <v>1314.3132951387443</v>
      </c>
      <c r="E26" s="149">
        <f t="shared" si="4"/>
        <v>1790.6631014814609</v>
      </c>
      <c r="F26" s="150">
        <f t="shared" si="3"/>
        <v>-1790.6631014814609</v>
      </c>
    </row>
    <row r="27" spans="1:15" x14ac:dyDescent="0.3">
      <c r="A27" s="45" t="s">
        <v>159</v>
      </c>
      <c r="B27" s="149">
        <f t="shared" si="1"/>
        <v>54111.042842345007</v>
      </c>
      <c r="C27" s="149">
        <f t="shared" si="2"/>
        <v>465.31782139848821</v>
      </c>
      <c r="D27" s="149">
        <f t="shared" si="0"/>
        <v>1325.3452800829727</v>
      </c>
      <c r="E27" s="149">
        <f t="shared" si="4"/>
        <v>1790.6631014814609</v>
      </c>
      <c r="F27" s="150">
        <f t="shared" si="3"/>
        <v>-1790.6631014814609</v>
      </c>
    </row>
    <row r="28" spans="1:15" ht="15" thickBot="1" x14ac:dyDescent="0.35">
      <c r="A28" s="146" t="s">
        <v>160</v>
      </c>
      <c r="B28" s="151">
        <f t="shared" si="1"/>
        <v>52774.5729778651</v>
      </c>
      <c r="C28" s="149">
        <f t="shared" si="2"/>
        <v>454.19323700155712</v>
      </c>
      <c r="D28" s="151">
        <f t="shared" si="0"/>
        <v>1336.4698644799037</v>
      </c>
      <c r="E28" s="149">
        <f t="shared" si="4"/>
        <v>1790.6631014814609</v>
      </c>
      <c r="F28" s="152">
        <f t="shared" si="3"/>
        <v>-1790.6631014814609</v>
      </c>
    </row>
    <row r="29" spans="1:15" ht="15" thickBot="1" x14ac:dyDescent="0.35">
      <c r="A29" s="45" t="s">
        <v>161</v>
      </c>
      <c r="B29" s="151">
        <f t="shared" si="1"/>
        <v>51426.885152281182</v>
      </c>
      <c r="C29" s="149">
        <f t="shared" si="2"/>
        <v>442.97527589754128</v>
      </c>
      <c r="D29" s="151">
        <f t="shared" si="0"/>
        <v>1347.6878255839197</v>
      </c>
      <c r="E29" s="149">
        <f t="shared" si="4"/>
        <v>1790.6631014814609</v>
      </c>
      <c r="F29" s="150">
        <f t="shared" si="3"/>
        <v>-1790.6631014814609</v>
      </c>
    </row>
    <row r="30" spans="1:15" ht="15" thickBot="1" x14ac:dyDescent="0.35">
      <c r="A30" s="146" t="s">
        <v>162</v>
      </c>
      <c r="B30" s="151">
        <f t="shared" si="1"/>
        <v>50067.885205107719</v>
      </c>
      <c r="C30" s="149">
        <f t="shared" si="2"/>
        <v>431.66315430799881</v>
      </c>
      <c r="D30" s="151">
        <f t="shared" si="0"/>
        <v>1358.999947173462</v>
      </c>
      <c r="E30" s="149">
        <f t="shared" si="4"/>
        <v>1790.6631014814609</v>
      </c>
      <c r="F30" s="152">
        <f t="shared" si="3"/>
        <v>-1790.6631014814609</v>
      </c>
    </row>
    <row r="31" spans="1:15" ht="15" thickBot="1" x14ac:dyDescent="0.35">
      <c r="A31" s="45" t="s">
        <v>163</v>
      </c>
      <c r="B31" s="151">
        <f t="shared" si="1"/>
        <v>48697.478185501925</v>
      </c>
      <c r="C31" s="149">
        <f t="shared" si="2"/>
        <v>420.25608187566661</v>
      </c>
      <c r="D31" s="151">
        <f t="shared" si="0"/>
        <v>1370.4070196057942</v>
      </c>
      <c r="E31" s="149">
        <f t="shared" si="4"/>
        <v>1790.6631014814609</v>
      </c>
      <c r="F31" s="150">
        <f t="shared" si="3"/>
        <v>-1790.6631014814609</v>
      </c>
    </row>
    <row r="32" spans="1:15" ht="15" thickBot="1" x14ac:dyDescent="0.35">
      <c r="A32" s="146" t="s">
        <v>164</v>
      </c>
      <c r="B32" s="151">
        <f t="shared" si="1"/>
        <v>47315.568345629705</v>
      </c>
      <c r="C32" s="149">
        <f t="shared" si="2"/>
        <v>408.75326160923987</v>
      </c>
      <c r="D32" s="151">
        <f t="shared" si="0"/>
        <v>1381.909839872221</v>
      </c>
      <c r="E32" s="149">
        <f t="shared" si="4"/>
        <v>1790.6631014814609</v>
      </c>
      <c r="F32" s="152">
        <f t="shared" si="3"/>
        <v>-1790.6631014814609</v>
      </c>
    </row>
    <row r="33" spans="1:6" ht="15" thickBot="1" x14ac:dyDescent="0.35">
      <c r="A33" s="45" t="s">
        <v>165</v>
      </c>
      <c r="B33" s="151">
        <f t="shared" si="1"/>
        <v>45922.059133975934</v>
      </c>
      <c r="C33" s="149">
        <f t="shared" si="2"/>
        <v>397.15388982768752</v>
      </c>
      <c r="D33" s="151">
        <f t="shared" si="0"/>
        <v>1393.5092116537735</v>
      </c>
      <c r="E33" s="149">
        <f t="shared" si="4"/>
        <v>1790.6631014814609</v>
      </c>
      <c r="F33" s="150">
        <f t="shared" si="3"/>
        <v>-1790.6631014814609</v>
      </c>
    </row>
    <row r="34" spans="1:6" ht="15" thickBot="1" x14ac:dyDescent="0.35">
      <c r="A34" s="146" t="s">
        <v>166</v>
      </c>
      <c r="B34" s="151">
        <f t="shared" si="1"/>
        <v>44516.853188598572</v>
      </c>
      <c r="C34" s="149">
        <f t="shared" si="2"/>
        <v>385.45715610410059</v>
      </c>
      <c r="D34" s="151">
        <f t="shared" si="0"/>
        <v>1405.2059453773604</v>
      </c>
      <c r="E34" s="149">
        <f t="shared" si="4"/>
        <v>1790.6631014814609</v>
      </c>
      <c r="F34" s="152">
        <f t="shared" si="3"/>
        <v>-1790.6631014814609</v>
      </c>
    </row>
    <row r="35" spans="1:6" ht="15" thickBot="1" x14ac:dyDescent="0.35">
      <c r="A35" s="45" t="s">
        <v>167</v>
      </c>
      <c r="B35" s="151">
        <f t="shared" si="1"/>
        <v>43099.852330326183</v>
      </c>
      <c r="C35" s="149">
        <f t="shared" si="2"/>
        <v>373.66224320906906</v>
      </c>
      <c r="D35" s="151">
        <f t="shared" si="0"/>
        <v>1417.0008582723917</v>
      </c>
      <c r="E35" s="149">
        <f t="shared" si="4"/>
        <v>1790.6631014814609</v>
      </c>
      <c r="F35" s="150">
        <f t="shared" si="3"/>
        <v>-1790.6631014814609</v>
      </c>
    </row>
    <row r="36" spans="1:6" ht="15" thickBot="1" x14ac:dyDescent="0.35">
      <c r="A36" s="146" t="s">
        <v>168</v>
      </c>
      <c r="B36" s="151">
        <f t="shared" si="1"/>
        <v>41670.957555898305</v>
      </c>
      <c r="C36" s="149">
        <f t="shared" si="2"/>
        <v>361.76832705358385</v>
      </c>
      <c r="D36" s="151">
        <f t="shared" si="0"/>
        <v>1428.8947744278771</v>
      </c>
      <c r="E36" s="149">
        <f t="shared" si="4"/>
        <v>1790.6631014814609</v>
      </c>
      <c r="F36" s="152">
        <f t="shared" si="3"/>
        <v>-1790.6631014814609</v>
      </c>
    </row>
    <row r="37" spans="1:6" ht="15" thickBot="1" x14ac:dyDescent="0.35">
      <c r="A37" s="45" t="s">
        <v>169</v>
      </c>
      <c r="B37" s="151">
        <f t="shared" si="1"/>
        <v>40230.069031048304</v>
      </c>
      <c r="C37" s="149">
        <f t="shared" si="2"/>
        <v>349.77457663145867</v>
      </c>
      <c r="D37" s="151">
        <f t="shared" si="0"/>
        <v>1440.8885248500023</v>
      </c>
      <c r="E37" s="149">
        <f t="shared" si="4"/>
        <v>1790.6631014814609</v>
      </c>
      <c r="F37" s="150">
        <f t="shared" si="3"/>
        <v>-1790.6631014814609</v>
      </c>
    </row>
    <row r="38" spans="1:6" ht="15" thickBot="1" x14ac:dyDescent="0.35">
      <c r="A38" s="146" t="s">
        <v>170</v>
      </c>
      <c r="B38" s="151">
        <f t="shared" si="1"/>
        <v>38777.086083528113</v>
      </c>
      <c r="C38" s="149">
        <f t="shared" si="2"/>
        <v>337.68015396126975</v>
      </c>
      <c r="D38" s="151">
        <f t="shared" si="0"/>
        <v>1452.9829475201911</v>
      </c>
      <c r="E38" s="149">
        <f t="shared" si="4"/>
        <v>1790.6631014814609</v>
      </c>
      <c r="F38" s="152">
        <f t="shared" si="3"/>
        <v>-1790.6631014814609</v>
      </c>
    </row>
    <row r="39" spans="1:6" ht="15" thickBot="1" x14ac:dyDescent="0.35">
      <c r="A39" s="45" t="s">
        <v>171</v>
      </c>
      <c r="B39" s="151">
        <f t="shared" si="1"/>
        <v>37311.907196074462</v>
      </c>
      <c r="C39" s="149">
        <f t="shared" si="2"/>
        <v>325.48421402780718</v>
      </c>
      <c r="D39" s="151">
        <f t="shared" si="0"/>
        <v>1465.1788874536537</v>
      </c>
      <c r="E39" s="149">
        <f t="shared" si="4"/>
        <v>1790.6631014814609</v>
      </c>
      <c r="F39" s="150">
        <f t="shared" si="3"/>
        <v>-1790.6631014814609</v>
      </c>
    </row>
    <row r="40" spans="1:6" ht="15" thickBot="1" x14ac:dyDescent="0.35">
      <c r="A40" s="146" t="s">
        <v>172</v>
      </c>
      <c r="B40" s="151">
        <f t="shared" si="1"/>
        <v>35834.429999316038</v>
      </c>
      <c r="C40" s="149">
        <f t="shared" si="2"/>
        <v>313.18590472303543</v>
      </c>
      <c r="D40" s="151">
        <f t="shared" si="0"/>
        <v>1477.4771967584254</v>
      </c>
      <c r="E40" s="149">
        <f t="shared" si="4"/>
        <v>1790.6631014814609</v>
      </c>
      <c r="F40" s="152">
        <f t="shared" si="3"/>
        <v>-1790.6631014814609</v>
      </c>
    </row>
    <row r="41" spans="1:6" ht="15" thickBot="1" x14ac:dyDescent="0.35">
      <c r="A41" s="45" t="s">
        <v>173</v>
      </c>
      <c r="B41" s="151">
        <f t="shared" si="1"/>
        <v>34344.551264621135</v>
      </c>
      <c r="C41" s="149">
        <f t="shared" si="2"/>
        <v>300.78436678655805</v>
      </c>
      <c r="D41" s="151">
        <f t="shared" si="0"/>
        <v>1489.878734694903</v>
      </c>
      <c r="E41" s="149">
        <f t="shared" si="4"/>
        <v>1790.6631014814609</v>
      </c>
      <c r="F41" s="150">
        <f t="shared" si="3"/>
        <v>-1790.6631014814609</v>
      </c>
    </row>
    <row r="42" spans="1:6" ht="15" thickBot="1" x14ac:dyDescent="0.35">
      <c r="A42" s="146" t="s">
        <v>174</v>
      </c>
      <c r="B42" s="151">
        <f t="shared" si="1"/>
        <v>32842.166896885261</v>
      </c>
      <c r="C42" s="149">
        <f t="shared" si="2"/>
        <v>288.27873374558271</v>
      </c>
      <c r="D42" s="151">
        <f t="shared" si="0"/>
        <v>1502.3843677358782</v>
      </c>
      <c r="E42" s="149">
        <f t="shared" si="4"/>
        <v>1790.6631014814609</v>
      </c>
      <c r="F42" s="152">
        <f t="shared" si="3"/>
        <v>-1790.6631014814609</v>
      </c>
    </row>
    <row r="43" spans="1:6" ht="15" thickBot="1" x14ac:dyDescent="0.35">
      <c r="A43" s="45" t="s">
        <v>175</v>
      </c>
      <c r="B43" s="151">
        <f t="shared" si="1"/>
        <v>31327.171927258183</v>
      </c>
      <c r="C43" s="149">
        <f t="shared" si="2"/>
        <v>275.66813185438247</v>
      </c>
      <c r="D43" s="151">
        <f t="shared" si="0"/>
        <v>1514.9949696270785</v>
      </c>
      <c r="E43" s="149">
        <f t="shared" si="4"/>
        <v>1790.6631014814609</v>
      </c>
      <c r="F43" s="150">
        <f t="shared" si="3"/>
        <v>-1790.6631014814609</v>
      </c>
    </row>
    <row r="44" spans="1:6" ht="15" thickBot="1" x14ac:dyDescent="0.35">
      <c r="A44" s="146" t="s">
        <v>176</v>
      </c>
      <c r="B44" s="151">
        <f t="shared" si="1"/>
        <v>29799.46050580997</v>
      </c>
      <c r="C44" s="149">
        <f t="shared" si="2"/>
        <v>262.95168003324846</v>
      </c>
      <c r="D44" s="151">
        <f t="shared" si="0"/>
        <v>1527.7114214482124</v>
      </c>
      <c r="E44" s="149">
        <f t="shared" si="4"/>
        <v>1790.6631014814609</v>
      </c>
      <c r="F44" s="152">
        <f t="shared" si="3"/>
        <v>-1790.6631014814609</v>
      </c>
    </row>
    <row r="45" spans="1:6" ht="15" thickBot="1" x14ac:dyDescent="0.35">
      <c r="A45" s="45" t="s">
        <v>177</v>
      </c>
      <c r="B45" s="151">
        <f t="shared" si="1"/>
        <v>28258.925894135438</v>
      </c>
      <c r="C45" s="149">
        <f t="shared" si="2"/>
        <v>250.12848980693082</v>
      </c>
      <c r="D45" s="151">
        <f t="shared" si="0"/>
        <v>1540.53461167453</v>
      </c>
      <c r="E45" s="149">
        <f t="shared" si="4"/>
        <v>1790.6631014814609</v>
      </c>
      <c r="F45" s="150">
        <f t="shared" si="3"/>
        <v>-1790.6631014814609</v>
      </c>
    </row>
    <row r="46" spans="1:6" ht="15" thickBot="1" x14ac:dyDescent="0.35">
      <c r="A46" s="146" t="s">
        <v>178</v>
      </c>
      <c r="B46" s="151">
        <f t="shared" si="1"/>
        <v>26705.460457896541</v>
      </c>
      <c r="C46" s="149">
        <f t="shared" si="2"/>
        <v>237.19766524256229</v>
      </c>
      <c r="D46" s="151">
        <f t="shared" si="0"/>
        <v>1553.4654362388985</v>
      </c>
      <c r="E46" s="149">
        <f t="shared" si="4"/>
        <v>1790.6631014814609</v>
      </c>
      <c r="F46" s="152">
        <f t="shared" si="3"/>
        <v>-1790.6631014814609</v>
      </c>
    </row>
    <row r="47" spans="1:6" ht="15" thickBot="1" x14ac:dyDescent="0.35">
      <c r="A47" s="45" t="s">
        <v>179</v>
      </c>
      <c r="B47" s="151">
        <f t="shared" si="1"/>
        <v>25138.955659302141</v>
      </c>
      <c r="C47" s="149">
        <f t="shared" si="2"/>
        <v>224.15830288706118</v>
      </c>
      <c r="D47" s="151">
        <f t="shared" si="0"/>
        <v>1566.5047985943997</v>
      </c>
      <c r="E47" s="149">
        <f t="shared" si="4"/>
        <v>1790.6631014814609</v>
      </c>
      <c r="F47" s="150">
        <f t="shared" si="3"/>
        <v>-1790.6631014814609</v>
      </c>
    </row>
    <row r="48" spans="1:6" ht="15" thickBot="1" x14ac:dyDescent="0.35">
      <c r="A48" s="146" t="s">
        <v>180</v>
      </c>
      <c r="B48" s="151">
        <f t="shared" si="1"/>
        <v>23559.302049524689</v>
      </c>
      <c r="C48" s="149">
        <f t="shared" si="2"/>
        <v>211.00949170400861</v>
      </c>
      <c r="D48" s="151">
        <f t="shared" si="0"/>
        <v>1579.6536097774524</v>
      </c>
      <c r="E48" s="149">
        <f t="shared" si="4"/>
        <v>1790.6631014814609</v>
      </c>
      <c r="F48" s="152">
        <f t="shared" si="3"/>
        <v>-1790.6631014814609</v>
      </c>
    </row>
    <row r="49" spans="1:6" ht="15" thickBot="1" x14ac:dyDescent="0.35">
      <c r="A49" s="45" t="s">
        <v>181</v>
      </c>
      <c r="B49" s="151">
        <f t="shared" si="1"/>
        <v>21966.389261053224</v>
      </c>
      <c r="C49" s="149">
        <f t="shared" si="2"/>
        <v>197.75031300999618</v>
      </c>
      <c r="D49" s="151">
        <f t="shared" si="0"/>
        <v>1592.9127884714646</v>
      </c>
      <c r="E49" s="149">
        <f t="shared" si="4"/>
        <v>1790.6631014814609</v>
      </c>
      <c r="F49" s="150">
        <f t="shared" si="3"/>
        <v>-1790.6631014814609</v>
      </c>
    </row>
    <row r="50" spans="1:6" ht="15" thickBot="1" x14ac:dyDescent="0.35">
      <c r="A50" s="146" t="s">
        <v>182</v>
      </c>
      <c r="B50" s="151">
        <f t="shared" si="1"/>
        <v>20360.105999982203</v>
      </c>
      <c r="C50" s="149">
        <f t="shared" si="2"/>
        <v>184.37984041043913</v>
      </c>
      <c r="D50" s="151">
        <f t="shared" si="0"/>
        <v>1606.2832610710218</v>
      </c>
      <c r="E50" s="149">
        <f t="shared" si="4"/>
        <v>1790.6631014814609</v>
      </c>
      <c r="F50" s="152">
        <f t="shared" si="3"/>
        <v>-1790.6631014814609</v>
      </c>
    </row>
    <row r="51" spans="1:6" ht="15" thickBot="1" x14ac:dyDescent="0.35">
      <c r="A51" s="45" t="s">
        <v>183</v>
      </c>
      <c r="B51" s="151">
        <f t="shared" si="1"/>
        <v>18740.340038235594</v>
      </c>
      <c r="C51" s="149">
        <f t="shared" si="2"/>
        <v>170.89713973485098</v>
      </c>
      <c r="D51" s="151">
        <f t="shared" si="0"/>
        <v>1619.7659617466099</v>
      </c>
      <c r="E51" s="149">
        <f t="shared" si="4"/>
        <v>1790.6631014814609</v>
      </c>
      <c r="F51" s="150">
        <f t="shared" si="3"/>
        <v>-1790.6631014814609</v>
      </c>
    </row>
    <row r="52" spans="1:6" ht="15" thickBot="1" x14ac:dyDescent="0.35">
      <c r="A52" s="146" t="s">
        <v>184</v>
      </c>
      <c r="B52" s="151">
        <f t="shared" si="1"/>
        <v>17106.978205725707</v>
      </c>
      <c r="C52" s="149">
        <f t="shared" si="2"/>
        <v>157.30126897157461</v>
      </c>
      <c r="D52" s="151">
        <f t="shared" si="0"/>
        <v>1633.3618325098862</v>
      </c>
      <c r="E52" s="149">
        <f t="shared" si="4"/>
        <v>1790.6631014814609</v>
      </c>
      <c r="F52" s="152">
        <f t="shared" si="3"/>
        <v>-1790.6631014814609</v>
      </c>
    </row>
    <row r="53" spans="1:6" ht="15" thickBot="1" x14ac:dyDescent="0.35">
      <c r="A53" s="45" t="s">
        <v>185</v>
      </c>
      <c r="B53" s="151">
        <f t="shared" si="1"/>
        <v>15459.906382446212</v>
      </c>
      <c r="C53" s="149">
        <f t="shared" si="2"/>
        <v>143.59127820196574</v>
      </c>
      <c r="D53" s="151">
        <f t="shared" si="0"/>
        <v>1647.0718232794952</v>
      </c>
      <c r="E53" s="149">
        <f t="shared" si="4"/>
        <v>1790.6631014814609</v>
      </c>
      <c r="F53" s="150">
        <f t="shared" si="3"/>
        <v>-1790.6631014814609</v>
      </c>
    </row>
    <row r="54" spans="1:6" ht="15" thickBot="1" x14ac:dyDescent="0.35">
      <c r="A54" s="146" t="s">
        <v>186</v>
      </c>
      <c r="B54" s="151">
        <f t="shared" si="1"/>
        <v>13799.009490498775</v>
      </c>
      <c r="C54" s="149">
        <f t="shared" si="2"/>
        <v>129.76620953402374</v>
      </c>
      <c r="D54" s="151">
        <f t="shared" si="0"/>
        <v>1660.8968919474371</v>
      </c>
      <c r="E54" s="149">
        <f t="shared" si="4"/>
        <v>1790.6631014814609</v>
      </c>
      <c r="F54" s="152">
        <f t="shared" si="3"/>
        <v>-1790.6631014814609</v>
      </c>
    </row>
    <row r="55" spans="1:6" ht="15" thickBot="1" x14ac:dyDescent="0.35">
      <c r="A55" s="45" t="s">
        <v>187</v>
      </c>
      <c r="B55" s="151">
        <f t="shared" si="1"/>
        <v>12124.171486052779</v>
      </c>
      <c r="C55" s="149">
        <f t="shared" si="2"/>
        <v>115.82509703546559</v>
      </c>
      <c r="D55" s="151">
        <f t="shared" si="0"/>
        <v>1674.8380044459952</v>
      </c>
      <c r="E55" s="149">
        <f t="shared" si="4"/>
        <v>1790.6631014814609</v>
      </c>
      <c r="F55" s="150">
        <f t="shared" si="3"/>
        <v>-1790.6631014814609</v>
      </c>
    </row>
    <row r="56" spans="1:6" ht="15" thickBot="1" x14ac:dyDescent="0.35">
      <c r="A56" s="146" t="s">
        <v>188</v>
      </c>
      <c r="B56" s="151">
        <f t="shared" si="1"/>
        <v>10435.275351237557</v>
      </c>
      <c r="C56" s="149">
        <f t="shared" si="2"/>
        <v>101.76696666623782</v>
      </c>
      <c r="D56" s="151">
        <f t="shared" si="0"/>
        <v>1688.8961348152231</v>
      </c>
      <c r="E56" s="149">
        <f t="shared" si="4"/>
        <v>1790.6631014814609</v>
      </c>
      <c r="F56" s="152">
        <f t="shared" si="3"/>
        <v>-1790.6631014814609</v>
      </c>
    </row>
    <row r="57" spans="1:6" ht="15" thickBot="1" x14ac:dyDescent="0.35">
      <c r="A57" s="45" t="s">
        <v>189</v>
      </c>
      <c r="B57" s="151">
        <f t="shared" si="1"/>
        <v>8732.2030859665574</v>
      </c>
      <c r="C57" s="149">
        <f t="shared" si="2"/>
        <v>87.590836210462243</v>
      </c>
      <c r="D57" s="151">
        <f t="shared" si="0"/>
        <v>1703.0722652709987</v>
      </c>
      <c r="E57" s="149">
        <f t="shared" si="4"/>
        <v>1790.6631014814609</v>
      </c>
      <c r="F57" s="150">
        <f t="shared" si="3"/>
        <v>-1790.6631014814609</v>
      </c>
    </row>
    <row r="58" spans="1:6" ht="15" thickBot="1" x14ac:dyDescent="0.35">
      <c r="A58" s="146" t="s">
        <v>190</v>
      </c>
      <c r="B58" s="151">
        <f t="shared" si="1"/>
        <v>7014.8356996929069</v>
      </c>
      <c r="C58" s="149">
        <f t="shared" si="2"/>
        <v>73.295715207810218</v>
      </c>
      <c r="D58" s="151">
        <f t="shared" si="0"/>
        <v>1717.3673862736507</v>
      </c>
      <c r="E58" s="149">
        <f t="shared" si="4"/>
        <v>1790.6631014814609</v>
      </c>
      <c r="F58" s="152">
        <f t="shared" si="3"/>
        <v>-1790.6631014814609</v>
      </c>
    </row>
    <row r="59" spans="1:6" ht="15" thickBot="1" x14ac:dyDescent="0.35">
      <c r="A59" s="45" t="s">
        <v>191</v>
      </c>
      <c r="B59" s="151">
        <f t="shared" si="1"/>
        <v>5283.0532030957474</v>
      </c>
      <c r="C59" s="149">
        <f t="shared" si="2"/>
        <v>58.880604884301079</v>
      </c>
      <c r="D59" s="151">
        <f t="shared" si="0"/>
        <v>1731.7824965971599</v>
      </c>
      <c r="E59" s="149">
        <f>IF(B58&lt;1,0,IF(B58=0,0,$E$9))</f>
        <v>1790.6631014814609</v>
      </c>
      <c r="F59" s="152">
        <f t="shared" si="3"/>
        <v>-1790.6631014814609</v>
      </c>
    </row>
    <row r="60" spans="1:6" ht="15" thickBot="1" x14ac:dyDescent="0.35">
      <c r="A60" s="146" t="s">
        <v>192</v>
      </c>
      <c r="B60" s="151">
        <f t="shared" si="1"/>
        <v>3536.7345996968061</v>
      </c>
      <c r="C60" s="149">
        <f t="shared" si="2"/>
        <v>44.344498082519571</v>
      </c>
      <c r="D60" s="151">
        <f t="shared" si="0"/>
        <v>1746.3186033989414</v>
      </c>
      <c r="E60" s="149">
        <f t="shared" ref="E60:E78" si="5">IF(B59&lt;1,0,IF(B59=0,0,$E$9))</f>
        <v>1790.6631014814609</v>
      </c>
      <c r="F60" s="152">
        <f t="shared" si="3"/>
        <v>-1790.6631014814609</v>
      </c>
    </row>
    <row r="61" spans="1:6" ht="15" thickBot="1" x14ac:dyDescent="0.35">
      <c r="A61" s="45" t="s">
        <v>193</v>
      </c>
      <c r="B61" s="151">
        <f t="shared" si="1"/>
        <v>1775.7578774065928</v>
      </c>
      <c r="C61" s="149">
        <f t="shared" si="2"/>
        <v>29.68637919124761</v>
      </c>
      <c r="D61" s="151">
        <f t="shared" si="0"/>
        <v>1760.9767222902133</v>
      </c>
      <c r="E61" s="149">
        <f t="shared" si="5"/>
        <v>1790.6631014814609</v>
      </c>
      <c r="F61" s="152">
        <f t="shared" si="3"/>
        <v>-1790.6631014814609</v>
      </c>
    </row>
    <row r="62" spans="1:6" ht="15" thickBot="1" x14ac:dyDescent="0.35">
      <c r="A62" s="146" t="s">
        <v>194</v>
      </c>
      <c r="B62" s="151">
        <f t="shared" si="1"/>
        <v>-3.6266101233195513E-10</v>
      </c>
      <c r="C62" s="149">
        <f t="shared" si="2"/>
        <v>14.905224074505414</v>
      </c>
      <c r="D62" s="151">
        <f t="shared" si="0"/>
        <v>1775.7578774069555</v>
      </c>
      <c r="E62" s="149">
        <f t="shared" si="5"/>
        <v>1790.6631014814609</v>
      </c>
      <c r="F62" s="152">
        <f t="shared" si="3"/>
        <v>-1790.6631014814609</v>
      </c>
    </row>
    <row r="63" spans="1:6" ht="15" thickBot="1" x14ac:dyDescent="0.35">
      <c r="A63" s="45" t="s">
        <v>195</v>
      </c>
      <c r="B63" s="151">
        <f t="shared" si="1"/>
        <v>-3.6570508929800487E-10</v>
      </c>
      <c r="C63" s="149">
        <f t="shared" si="2"/>
        <v>-3.044076966049726E-12</v>
      </c>
      <c r="D63" s="151">
        <f t="shared" si="0"/>
        <v>3.044076966049726E-12</v>
      </c>
      <c r="E63" s="149">
        <f t="shared" si="5"/>
        <v>0</v>
      </c>
      <c r="F63" s="152">
        <f t="shared" si="3"/>
        <v>0</v>
      </c>
    </row>
    <row r="64" spans="1:6" ht="15" thickBot="1" x14ac:dyDescent="0.35">
      <c r="A64" s="146" t="s">
        <v>196</v>
      </c>
      <c r="B64" s="151">
        <f t="shared" si="1"/>
        <v>-3.6877471741033205E-10</v>
      </c>
      <c r="C64" s="149">
        <f t="shared" si="2"/>
        <v>-3.0696281123272108E-12</v>
      </c>
      <c r="D64" s="151">
        <f t="shared" si="0"/>
        <v>3.0696281123272108E-12</v>
      </c>
      <c r="E64" s="149">
        <f t="shared" si="5"/>
        <v>0</v>
      </c>
      <c r="F64" s="152">
        <f t="shared" si="3"/>
        <v>0</v>
      </c>
    </row>
    <row r="65" spans="1:6" ht="15" thickBot="1" x14ac:dyDescent="0.35">
      <c r="A65" s="45" t="s">
        <v>197</v>
      </c>
      <c r="B65" s="151">
        <f t="shared" si="1"/>
        <v>-3.7187011113824333E-10</v>
      </c>
      <c r="C65" s="149">
        <f t="shared" si="2"/>
        <v>-3.0953937279112783E-12</v>
      </c>
      <c r="D65" s="151">
        <f t="shared" si="0"/>
        <v>3.0953937279112783E-12</v>
      </c>
      <c r="E65" s="149">
        <f t="shared" si="5"/>
        <v>0</v>
      </c>
      <c r="F65" s="152">
        <f t="shared" si="3"/>
        <v>0</v>
      </c>
    </row>
    <row r="66" spans="1:6" ht="15" thickBot="1" x14ac:dyDescent="0.35">
      <c r="A66" s="146" t="s">
        <v>198</v>
      </c>
      <c r="B66" s="151">
        <f t="shared" si="1"/>
        <v>-3.7499148675124172E-10</v>
      </c>
      <c r="C66" s="149">
        <f t="shared" si="2"/>
        <v>-3.1213756129984039E-12</v>
      </c>
      <c r="D66" s="151">
        <f t="shared" si="0"/>
        <v>3.1213756129984039E-12</v>
      </c>
      <c r="E66" s="149">
        <f t="shared" si="5"/>
        <v>0</v>
      </c>
      <c r="F66" s="152">
        <f t="shared" si="3"/>
        <v>0</v>
      </c>
    </row>
    <row r="67" spans="1:6" ht="15" thickBot="1" x14ac:dyDescent="0.35">
      <c r="A67" s="45" t="s">
        <v>199</v>
      </c>
      <c r="B67" s="151">
        <f t="shared" si="1"/>
        <v>-3.7813906233413711E-10</v>
      </c>
      <c r="C67" s="149">
        <f t="shared" si="2"/>
        <v>-3.1475755828954176E-12</v>
      </c>
      <c r="D67" s="151">
        <f t="shared" si="0"/>
        <v>3.1475755828954176E-12</v>
      </c>
      <c r="E67" s="149">
        <f t="shared" si="5"/>
        <v>0</v>
      </c>
      <c r="F67" s="152">
        <f t="shared" si="3"/>
        <v>0</v>
      </c>
    </row>
    <row r="68" spans="1:6" ht="15" thickBot="1" x14ac:dyDescent="0.35">
      <c r="A68" s="146" t="s">
        <v>200</v>
      </c>
      <c r="B68" s="151">
        <f t="shared" si="1"/>
        <v>-3.8131305780228346E-10</v>
      </c>
      <c r="C68" s="149">
        <f t="shared" si="2"/>
        <v>-3.1739954681463367E-12</v>
      </c>
      <c r="D68" s="151">
        <f t="shared" si="0"/>
        <v>3.1739954681463367E-12</v>
      </c>
      <c r="E68" s="149">
        <f t="shared" si="5"/>
        <v>0</v>
      </c>
      <c r="F68" s="152">
        <f t="shared" si="3"/>
        <v>0</v>
      </c>
    </row>
    <row r="69" spans="1:6" ht="15" thickBot="1" x14ac:dyDescent="0.35">
      <c r="A69" s="45" t="s">
        <v>201</v>
      </c>
      <c r="B69" s="151">
        <f t="shared" si="1"/>
        <v>-3.8451369491694374E-10</v>
      </c>
      <c r="C69" s="149">
        <f t="shared" si="2"/>
        <v>-3.2006371146602629E-12</v>
      </c>
      <c r="D69" s="151">
        <f t="shared" si="0"/>
        <v>3.2006371146602629E-12</v>
      </c>
      <c r="E69" s="149">
        <f t="shared" si="5"/>
        <v>0</v>
      </c>
      <c r="F69" s="152">
        <f t="shared" si="3"/>
        <v>0</v>
      </c>
    </row>
    <row r="70" spans="1:6" ht="15" thickBot="1" x14ac:dyDescent="0.35">
      <c r="A70" s="146" t="s">
        <v>202</v>
      </c>
      <c r="B70" s="151">
        <f t="shared" si="1"/>
        <v>-3.877411973007841E-10</v>
      </c>
      <c r="C70" s="149">
        <f t="shared" si="2"/>
        <v>-3.2275023838403509E-12</v>
      </c>
      <c r="D70" s="151">
        <f t="shared" si="0"/>
        <v>3.2275023838403509E-12</v>
      </c>
      <c r="E70" s="149">
        <f t="shared" si="5"/>
        <v>0</v>
      </c>
      <c r="F70" s="152">
        <f t="shared" si="3"/>
        <v>0</v>
      </c>
    </row>
    <row r="71" spans="1:6" ht="15" thickBot="1" x14ac:dyDescent="0.35">
      <c r="A71" s="45" t="s">
        <v>203</v>
      </c>
      <c r="B71" s="151">
        <f t="shared" si="1"/>
        <v>-3.9099579045349795E-10</v>
      </c>
      <c r="C71" s="149">
        <f t="shared" si="2"/>
        <v>-3.2545931527138632E-12</v>
      </c>
      <c r="D71" s="151">
        <f t="shared" si="0"/>
        <v>3.2545931527138632E-12</v>
      </c>
      <c r="E71" s="149">
        <f t="shared" si="5"/>
        <v>0</v>
      </c>
      <c r="F71" s="152">
        <f t="shared" si="3"/>
        <v>0</v>
      </c>
    </row>
    <row r="72" spans="1:6" ht="15" thickBot="1" x14ac:dyDescent="0.35">
      <c r="A72" s="146" t="s">
        <v>204</v>
      </c>
      <c r="B72" s="151">
        <f t="shared" si="1"/>
        <v>-3.9427770176756125E-10</v>
      </c>
      <c r="C72" s="149">
        <f t="shared" si="2"/>
        <v>-3.2819113140633136E-12</v>
      </c>
      <c r="D72" s="151">
        <f t="shared" si="0"/>
        <v>3.2819113140633136E-12</v>
      </c>
      <c r="E72" s="149">
        <f t="shared" si="5"/>
        <v>0</v>
      </c>
      <c r="F72" s="152">
        <f t="shared" si="3"/>
        <v>0</v>
      </c>
    </row>
    <row r="73" spans="1:6" ht="15" thickBot="1" x14ac:dyDescent="0.35">
      <c r="A73" s="45" t="s">
        <v>205</v>
      </c>
      <c r="B73" s="151">
        <f t="shared" si="1"/>
        <v>-3.9758716054411996E-10</v>
      </c>
      <c r="C73" s="149">
        <f t="shared" si="2"/>
        <v>-3.3094587765587128E-12</v>
      </c>
      <c r="D73" s="151">
        <f t="shared" si="0"/>
        <v>3.3094587765587128E-12</v>
      </c>
      <c r="E73" s="149">
        <f t="shared" si="5"/>
        <v>0</v>
      </c>
      <c r="F73" s="152">
        <f t="shared" si="3"/>
        <v>0</v>
      </c>
    </row>
    <row r="74" spans="1:6" ht="15" thickBot="1" x14ac:dyDescent="0.35">
      <c r="A74" s="146" t="s">
        <v>206</v>
      </c>
      <c r="B74" s="151">
        <f t="shared" si="1"/>
        <v>-4.0092439800901091E-10</v>
      </c>
      <c r="C74" s="149">
        <f t="shared" si="2"/>
        <v>-3.3372374648909237E-12</v>
      </c>
      <c r="D74" s="151">
        <f t="shared" si="0"/>
        <v>3.3372374648909237E-12</v>
      </c>
      <c r="E74" s="149">
        <f t="shared" si="5"/>
        <v>0</v>
      </c>
      <c r="F74" s="152">
        <f t="shared" si="3"/>
        <v>0</v>
      </c>
    </row>
    <row r="75" spans="1:6" ht="15" thickBot="1" x14ac:dyDescent="0.35">
      <c r="A75" s="45" t="s">
        <v>207</v>
      </c>
      <c r="B75" s="151">
        <f t="shared" si="1"/>
        <v>-4.0428964732891707E-10</v>
      </c>
      <c r="C75" s="149">
        <f t="shared" si="2"/>
        <v>-3.3652493199061358E-12</v>
      </c>
      <c r="D75" s="151">
        <f t="shared" si="0"/>
        <v>3.3652493199061358E-12</v>
      </c>
      <c r="E75" s="149">
        <f t="shared" si="5"/>
        <v>0</v>
      </c>
      <c r="F75" s="152">
        <f t="shared" si="3"/>
        <v>0</v>
      </c>
    </row>
    <row r="76" spans="1:6" ht="15" thickBot="1" x14ac:dyDescent="0.35">
      <c r="A76" s="146" t="s">
        <v>208</v>
      </c>
      <c r="B76" s="151">
        <f t="shared" si="1"/>
        <v>-4.0768314362765854E-10</v>
      </c>
      <c r="C76" s="149">
        <f t="shared" si="2"/>
        <v>-3.393496298741468E-12</v>
      </c>
      <c r="D76" s="151">
        <f t="shared" si="0"/>
        <v>3.393496298741468E-12</v>
      </c>
      <c r="E76" s="149">
        <f t="shared" si="5"/>
        <v>0</v>
      </c>
      <c r="F76" s="152">
        <f t="shared" si="3"/>
        <v>0</v>
      </c>
    </row>
    <row r="77" spans="1:6" ht="15" thickBot="1" x14ac:dyDescent="0.35">
      <c r="A77" s="45" t="s">
        <v>209</v>
      </c>
      <c r="B77" s="151">
        <f t="shared" si="1"/>
        <v>-4.1110512400262024E-10</v>
      </c>
      <c r="C77" s="149">
        <f t="shared" si="2"/>
        <v>-3.4219803749617111E-12</v>
      </c>
      <c r="D77" s="151">
        <f t="shared" si="0"/>
        <v>3.4219803749617111E-12</v>
      </c>
      <c r="E77" s="149">
        <f t="shared" si="5"/>
        <v>0</v>
      </c>
      <c r="F77" s="152">
        <f t="shared" si="3"/>
        <v>0</v>
      </c>
    </row>
    <row r="78" spans="1:6" ht="15" thickBot="1" x14ac:dyDescent="0.35">
      <c r="A78" s="146" t="s">
        <v>210</v>
      </c>
      <c r="B78" s="151">
        <f t="shared" si="1"/>
        <v>-4.1455582754131745E-10</v>
      </c>
      <c r="C78" s="149">
        <f t="shared" si="2"/>
        <v>-3.450703538697217E-12</v>
      </c>
      <c r="D78" s="151">
        <f t="shared" si="0"/>
        <v>3.450703538697217E-12</v>
      </c>
      <c r="E78" s="149">
        <f t="shared" si="5"/>
        <v>0</v>
      </c>
      <c r="F78" s="152">
        <f t="shared" si="3"/>
        <v>0</v>
      </c>
    </row>
  </sheetData>
  <sheetProtection algorithmName="SHA-512" hashValue="XUvGu9Nze1fKlZ12K2NxOM9yskVRBIfRRvWfLmWeIYYhm76FRe3Y8fGidugG+cO5g8tmZrkJqYhxtAc+REkdPg==" saltValue="LvhuTPn67B3vmZCB7XDV5g==" spinCount="100000" sheet="1" objects="1" scenarios="1"/>
  <mergeCells count="2">
    <mergeCell ref="C8:D8"/>
    <mergeCell ref="E8:F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J11"/>
  <sheetViews>
    <sheetView workbookViewId="0">
      <selection activeCell="G21" sqref="G21"/>
    </sheetView>
  </sheetViews>
  <sheetFormatPr defaultRowHeight="14.4" x14ac:dyDescent="0.3"/>
  <cols>
    <col min="6" max="6" width="0" hidden="1" customWidth="1"/>
    <col min="10" max="10" width="0" hidden="1" customWidth="1"/>
  </cols>
  <sheetData>
    <row r="1" spans="1:10" ht="18" x14ac:dyDescent="0.35">
      <c r="A1" s="28" t="s">
        <v>92</v>
      </c>
    </row>
    <row r="4" spans="1:10" ht="15" thickBot="1" x14ac:dyDescent="0.35"/>
    <row r="5" spans="1:10" x14ac:dyDescent="0.3">
      <c r="A5" s="91" t="s">
        <v>88</v>
      </c>
      <c r="B5" s="92"/>
      <c r="C5" s="92"/>
      <c r="D5" s="92"/>
      <c r="E5" s="92"/>
      <c r="F5" s="93">
        <f>Etablering!B17</f>
        <v>35979.86</v>
      </c>
      <c r="G5" s="93">
        <f>IF(J5=TRUE,F5,"")</f>
        <v>35979.86</v>
      </c>
      <c r="H5" s="94" t="s">
        <v>32</v>
      </c>
      <c r="J5" t="b">
        <v>1</v>
      </c>
    </row>
    <row r="6" spans="1:10" x14ac:dyDescent="0.3">
      <c r="A6" s="95"/>
      <c r="B6" s="64"/>
      <c r="C6" s="64"/>
      <c r="D6" s="64"/>
      <c r="E6" s="64"/>
      <c r="F6" s="64"/>
      <c r="G6" s="65"/>
      <c r="H6" s="47"/>
    </row>
    <row r="7" spans="1:10" x14ac:dyDescent="0.3">
      <c r="A7" s="95" t="s">
        <v>89</v>
      </c>
      <c r="B7" s="64"/>
      <c r="C7" s="64"/>
      <c r="D7" s="64"/>
      <c r="E7" s="64"/>
      <c r="F7" s="65">
        <f>Etablering!B21</f>
        <v>25000</v>
      </c>
      <c r="G7" s="65">
        <f>IF(J7=TRUE,F7,"")</f>
        <v>25000</v>
      </c>
      <c r="H7" s="47" t="s">
        <v>32</v>
      </c>
      <c r="J7" t="b">
        <v>1</v>
      </c>
    </row>
    <row r="8" spans="1:10" x14ac:dyDescent="0.3">
      <c r="A8" s="95"/>
      <c r="B8" s="64"/>
      <c r="C8" s="64"/>
      <c r="D8" s="64"/>
      <c r="E8" s="64"/>
      <c r="F8" s="64"/>
      <c r="G8" s="65"/>
      <c r="H8" s="47"/>
    </row>
    <row r="9" spans="1:10" x14ac:dyDescent="0.3">
      <c r="A9" s="95" t="s">
        <v>90</v>
      </c>
      <c r="B9" s="64"/>
      <c r="C9" s="64"/>
      <c r="D9" s="64"/>
      <c r="E9" s="64"/>
      <c r="F9" s="65">
        <f>Etablering!B20</f>
        <v>8125</v>
      </c>
      <c r="G9" s="65">
        <f>IF(J9=TRUE,F9,"")</f>
        <v>8125</v>
      </c>
      <c r="H9" s="47" t="s">
        <v>32</v>
      </c>
      <c r="J9" t="b">
        <v>1</v>
      </c>
    </row>
    <row r="10" spans="1:10" ht="15" thickBot="1" x14ac:dyDescent="0.35">
      <c r="A10" s="96"/>
      <c r="B10" s="97"/>
      <c r="C10" s="97"/>
      <c r="D10" s="97"/>
      <c r="E10" s="97"/>
      <c r="F10" s="97"/>
      <c r="G10" s="98"/>
      <c r="H10" s="99"/>
    </row>
    <row r="11" spans="1:10" ht="18.600000000000001" thickBot="1" x14ac:dyDescent="0.4">
      <c r="A11" s="88" t="s">
        <v>91</v>
      </c>
      <c r="B11" s="89"/>
      <c r="C11" s="89"/>
      <c r="D11" s="89"/>
      <c r="E11" s="89"/>
      <c r="F11" s="89"/>
      <c r="G11" s="90">
        <f>SUM(G5:G9)</f>
        <v>69104.86</v>
      </c>
      <c r="H11" s="80" t="s">
        <v>32</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7620</xdr:colOff>
                    <xdr:row>3</xdr:row>
                    <xdr:rowOff>160020</xdr:rowOff>
                  </from>
                  <to>
                    <xdr:col>4</xdr:col>
                    <xdr:colOff>327660</xdr:colOff>
                    <xdr:row>5</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ltText="Med ?">
                <anchor moveWithCells="1">
                  <from>
                    <xdr:col>4</xdr:col>
                    <xdr:colOff>7620</xdr:colOff>
                    <xdr:row>6</xdr:row>
                    <xdr:rowOff>7620</xdr:rowOff>
                  </from>
                  <to>
                    <xdr:col>4</xdr:col>
                    <xdr:colOff>312420</xdr:colOff>
                    <xdr:row>7</xdr:row>
                    <xdr:rowOff>38100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4</xdr:col>
                    <xdr:colOff>7620</xdr:colOff>
                    <xdr:row>8</xdr:row>
                    <xdr:rowOff>22860</xdr:rowOff>
                  </from>
                  <to>
                    <xdr:col>6</xdr:col>
                    <xdr:colOff>449580</xdr:colOff>
                    <xdr:row>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2</vt:i4>
      </vt:variant>
    </vt:vector>
  </HeadingPairs>
  <TitlesOfParts>
    <vt:vector size="8" baseType="lpstr">
      <vt:lpstr>Inddata</vt:lpstr>
      <vt:lpstr>Energipriser og omkostninger</vt:lpstr>
      <vt:lpstr>Etablering</vt:lpstr>
      <vt:lpstr>Etablering_blindstik</vt:lpstr>
      <vt:lpstr>Finansiering</vt:lpstr>
      <vt:lpstr>Udtræk</vt:lpstr>
      <vt:lpstr>'Energipriser og omkostninger'!Udskriftsområde</vt:lpstr>
      <vt:lpstr>Inddata!Udskriftsområde</vt:lpstr>
    </vt:vector>
  </TitlesOfParts>
  <Company>Fjernvarme Fyn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Peer Andersen</dc:creator>
  <cp:lastModifiedBy>Gitte Larsen</cp:lastModifiedBy>
  <cp:lastPrinted>2018-03-08T09:01:50Z</cp:lastPrinted>
  <dcterms:created xsi:type="dcterms:W3CDTF">2012-01-03T07:04:59Z</dcterms:created>
  <dcterms:modified xsi:type="dcterms:W3CDTF">2019-09-10T10:59:08Z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N_DOK_DokumentNummer">
    <vt:lpwstr>D14-5256</vt:lpwstr>
  </property>
  <property fmtid="{D5CDD505-2E9C-101B-9397-08002B2CF9AE}" pid="3" name="DN_DOK_DokumentVersion">
    <vt:lpwstr>2.0</vt:lpwstr>
  </property>
  <property fmtid="{D5CDD505-2E9C-101B-9397-08002B2CF9AE}" pid="4" name="DN_DOK_DokumentNavn">
    <vt:lpwstr>Okonomiberegning_fjernvarme_Ferritslev</vt:lpwstr>
  </property>
  <property fmtid="{D5CDD505-2E9C-101B-9397-08002B2CF9AE}" pid="5" name="DN_DOK_ArbejdsOrdreNr">
    <vt:lpwstr> </vt:lpwstr>
  </property>
  <property fmtid="{D5CDD505-2E9C-101B-9397-08002B2CF9AE}" pid="6" name="DN_DOK_AnsvarligFuldeNavn">
    <vt:lpwstr>Allan Stihøj</vt:lpwstr>
  </property>
  <property fmtid="{D5CDD505-2E9C-101B-9397-08002B2CF9AE}" pid="7" name="DN_DOK_AnsvarligInitialer">
    <vt:lpwstr>AS</vt:lpwstr>
  </property>
  <property fmtid="{D5CDD505-2E9C-101B-9397-08002B2CF9AE}" pid="8" name="DN_DOK_AnsvarligEmail">
    <vt:lpwstr>as@fjernvarmefyn.dk</vt:lpwstr>
  </property>
  <property fmtid="{D5CDD505-2E9C-101B-9397-08002B2CF9AE}" pid="9" name="DN_DOK_AnsvarligTelefon">
    <vt:lpwstr>65 47 30 70</vt:lpwstr>
  </property>
  <property fmtid="{D5CDD505-2E9C-101B-9397-08002B2CF9AE}" pid="10" name="DN_DOK_AnsvarligTitel">
    <vt:lpwstr>Kundecenterchef</vt:lpwstr>
  </property>
  <property fmtid="{D5CDD505-2E9C-101B-9397-08002B2CF9AE}" pid="11" name="DN_DOK_BrevDato">
    <vt:lpwstr> </vt:lpwstr>
  </property>
  <property fmtid="{D5CDD505-2E9C-101B-9397-08002B2CF9AE}" pid="12" name="DN_DOK_Kontraktpart1Fuldenavn">
    <vt:lpwstr> </vt:lpwstr>
  </property>
  <property fmtid="{D5CDD505-2E9C-101B-9397-08002B2CF9AE}" pid="13" name="DN_DOK_Kontraktpart1Gade">
    <vt:lpwstr> </vt:lpwstr>
  </property>
  <property fmtid="{D5CDD505-2E9C-101B-9397-08002B2CF9AE}" pid="14" name="DN_DOK_Kontraktpart1PostNr">
    <vt:lpwstr> </vt:lpwstr>
  </property>
  <property fmtid="{D5CDD505-2E9C-101B-9397-08002B2CF9AE}" pid="15" name="DN_DOK_Kontraktpart1By">
    <vt:lpwstr> </vt:lpwstr>
  </property>
  <property fmtid="{D5CDD505-2E9C-101B-9397-08002B2CF9AE}" pid="16" name="DN_DOK_Kontraktpart1Område">
    <vt:lpwstr> </vt:lpwstr>
  </property>
  <property fmtid="{D5CDD505-2E9C-101B-9397-08002B2CF9AE}" pid="17" name="DN_DOK_Kontraktpart1Land">
    <vt:lpwstr> </vt:lpwstr>
  </property>
  <property fmtid="{D5CDD505-2E9C-101B-9397-08002B2CF9AE}" pid="18" name="DN_DOK_Kontraktpart2Fuldenavn">
    <vt:lpwstr> </vt:lpwstr>
  </property>
  <property fmtid="{D5CDD505-2E9C-101B-9397-08002B2CF9AE}" pid="19" name="DN_DOK_Kontraktpart2Gade">
    <vt:lpwstr> </vt:lpwstr>
  </property>
  <property fmtid="{D5CDD505-2E9C-101B-9397-08002B2CF9AE}" pid="20" name="DN_DOK_Modedato">
    <vt:lpwstr> </vt:lpwstr>
  </property>
  <property fmtid="{D5CDD505-2E9C-101B-9397-08002B2CF9AE}" pid="21" name="DN_DOK_Kontraktpart2Land">
    <vt:lpwstr> </vt:lpwstr>
  </property>
  <property fmtid="{D5CDD505-2E9C-101B-9397-08002B2CF9AE}" pid="22" name="DN_DOK_Kontraktpart2Område">
    <vt:lpwstr> </vt:lpwstr>
  </property>
  <property fmtid="{D5CDD505-2E9C-101B-9397-08002B2CF9AE}" pid="23" name="DN_DOK_Kontraktpart2PostNr">
    <vt:lpwstr> </vt:lpwstr>
  </property>
  <property fmtid="{D5CDD505-2E9C-101B-9397-08002B2CF9AE}" pid="24" name="DN_DOK_InternModelederFuldeNavn">
    <vt:lpwstr> </vt:lpwstr>
  </property>
  <property fmtid="{D5CDD505-2E9C-101B-9397-08002B2CF9AE}" pid="25" name="DN_DOK_Kontraktpart2By">
    <vt:lpwstr> </vt:lpwstr>
  </property>
  <property fmtid="{D5CDD505-2E9C-101B-9397-08002B2CF9AE}" pid="26" name="DN_DOK_EksternModelederFuldeNavn">
    <vt:lpwstr> </vt:lpwstr>
  </property>
  <property fmtid="{D5CDD505-2E9C-101B-9397-08002B2CF9AE}" pid="27" name="DN_DOK_Kontraktpart3By">
    <vt:lpwstr> </vt:lpwstr>
  </property>
  <property fmtid="{D5CDD505-2E9C-101B-9397-08002B2CF9AE}" pid="28" name="DN_DOK_Kontraktpart3Fuldenavn">
    <vt:lpwstr> </vt:lpwstr>
  </property>
  <property fmtid="{D5CDD505-2E9C-101B-9397-08002B2CF9AE}" pid="29" name="DN_DOK_Kontraktpart3Gade">
    <vt:lpwstr> </vt:lpwstr>
  </property>
  <property fmtid="{D5CDD505-2E9C-101B-9397-08002B2CF9AE}" pid="30" name="DN_DOK_Kontraktpart3Land">
    <vt:lpwstr> </vt:lpwstr>
  </property>
  <property fmtid="{D5CDD505-2E9C-101B-9397-08002B2CF9AE}" pid="31" name="DN_DOK_Kontraktpart4FuldeNavn">
    <vt:lpwstr> </vt:lpwstr>
  </property>
  <property fmtid="{D5CDD505-2E9C-101B-9397-08002B2CF9AE}" pid="32" name="DN_DOK_Kontraktpart3Område">
    <vt:lpwstr> </vt:lpwstr>
  </property>
  <property fmtid="{D5CDD505-2E9C-101B-9397-08002B2CF9AE}" pid="33" name="DN_DOK_Kontraktpart4Gade">
    <vt:lpwstr> </vt:lpwstr>
  </property>
  <property fmtid="{D5CDD505-2E9C-101B-9397-08002B2CF9AE}" pid="34" name="DN_DOK_Kontraktpart4Postnr">
    <vt:lpwstr> </vt:lpwstr>
  </property>
  <property fmtid="{D5CDD505-2E9C-101B-9397-08002B2CF9AE}" pid="35" name="DN_DOK_Kontraktpart3PostNr">
    <vt:lpwstr> </vt:lpwstr>
  </property>
  <property fmtid="{D5CDD505-2E9C-101B-9397-08002B2CF9AE}" pid="36" name="DN_DOK_Kontraktpart4Område">
    <vt:lpwstr> </vt:lpwstr>
  </property>
  <property fmtid="{D5CDD505-2E9C-101B-9397-08002B2CF9AE}" pid="37" name="DN_DOK_Kontraktpart4Land">
    <vt:lpwstr> </vt:lpwstr>
  </property>
  <property fmtid="{D5CDD505-2E9C-101B-9397-08002B2CF9AE}" pid="38" name="DN_DOK_KontraktstartDato">
    <vt:lpwstr> </vt:lpwstr>
  </property>
  <property fmtid="{D5CDD505-2E9C-101B-9397-08002B2CF9AE}" pid="39" name="DN_DOK_KontraktSlutDato">
    <vt:lpwstr> </vt:lpwstr>
  </property>
  <property fmtid="{D5CDD505-2E9C-101B-9397-08002B2CF9AE}" pid="40" name="DN_DOK_OpfølgningsDato">
    <vt:lpwstr> </vt:lpwstr>
  </property>
  <property fmtid="{D5CDD505-2E9C-101B-9397-08002B2CF9AE}" pid="41" name="DN_DOK_KontraktUnderskrift">
    <vt:lpwstr> </vt:lpwstr>
  </property>
  <property fmtid="{D5CDD505-2E9C-101B-9397-08002B2CF9AE}" pid="42" name="DN_DOK_Mødedeltagere">
    <vt:lpwstr> </vt:lpwstr>
  </property>
  <property fmtid="{D5CDD505-2E9C-101B-9397-08002B2CF9AE}" pid="43" name="DN_DOK_Mødetidspunkt">
    <vt:lpwstr> </vt:lpwstr>
  </property>
  <property fmtid="{D5CDD505-2E9C-101B-9397-08002B2CF9AE}" pid="44" name="DN_DOK_Mødested">
    <vt:lpwstr> </vt:lpwstr>
  </property>
  <property fmtid="{D5CDD505-2E9C-101B-9397-08002B2CF9AE}" pid="45" name="DN_DOK_Rumindhold_indskærnket">
    <vt:lpwstr> </vt:lpwstr>
  </property>
  <property fmtid="{D5CDD505-2E9C-101B-9397-08002B2CF9AE}" pid="46" name="DN_DOK_Rumindhold_ialt">
    <vt:lpwstr> </vt:lpwstr>
  </property>
  <property fmtid="{D5CDD505-2E9C-101B-9397-08002B2CF9AE}" pid="47" name="DN_DOK_Ændringsdato">
    <vt:lpwstr> </vt:lpwstr>
  </property>
  <property fmtid="{D5CDD505-2E9C-101B-9397-08002B2CF9AE}" pid="48" name="DN_DOK_Virksomhedshåndbog_Doknr">
    <vt:lpwstr> </vt:lpwstr>
  </property>
  <property fmtid="{D5CDD505-2E9C-101B-9397-08002B2CF9AE}" pid="49" name="DN_DOK_Gyldighedsdato">
    <vt:lpwstr> </vt:lpwstr>
  </property>
  <property fmtid="{D5CDD505-2E9C-101B-9397-08002B2CF9AE}" pid="50" name="DN_DOK_Godkendt">
    <vt:lpwstr> </vt:lpwstr>
  </property>
  <property fmtid="{D5CDD505-2E9C-101B-9397-08002B2CF9AE}" pid="51" name="DN_DOK_Udarbejdet_af_Initialer">
    <vt:lpwstr> </vt:lpwstr>
  </property>
  <property fmtid="{D5CDD505-2E9C-101B-9397-08002B2CF9AE}" pid="52" name="DN_DOK_Godkendt_af_initialer">
    <vt:lpwstr> </vt:lpwstr>
  </property>
  <property fmtid="{D5CDD505-2E9C-101B-9397-08002B2CF9AE}" pid="53" name="DN_DOK_Mødenummer">
    <vt:lpwstr> </vt:lpwstr>
  </property>
  <property fmtid="{D5CDD505-2E9C-101B-9397-08002B2CF9AE}" pid="54" name="DN_DOK_Rumindhold_Type">
    <vt:lpwstr> </vt:lpwstr>
  </property>
  <property fmtid="{D5CDD505-2E9C-101B-9397-08002B2CF9AE}" pid="55" name="DN_DOK_Afdeling">
    <vt:lpwstr> </vt:lpwstr>
  </property>
  <property fmtid="{D5CDD505-2E9C-101B-9397-08002B2CF9AE}" pid="56" name="DN_SAG_Sagsnummer">
    <vt:lpwstr>ms-950</vt:lpwstr>
  </property>
  <property fmtid="{D5CDD505-2E9C-101B-9397-08002B2CF9AE}" pid="57" name="DN_SAG_Sagsnavn">
    <vt:lpwstr>Fjernvarme i Feritslev/Birkum</vt:lpwstr>
  </property>
  <property fmtid="{D5CDD505-2E9C-101B-9397-08002B2CF9AE}" pid="58" name="DN_SAG_AnsvarligFuldenavn">
    <vt:lpwstr>Rikke Gitz</vt:lpwstr>
  </property>
  <property fmtid="{D5CDD505-2E9C-101B-9397-08002B2CF9AE}" pid="59" name="DN_SAG_AnsvarligInitialer">
    <vt:lpwstr>RG</vt:lpwstr>
  </property>
  <property fmtid="{D5CDD505-2E9C-101B-9397-08002B2CF9AE}" pid="60" name="DN_SAG_Medarbejder">
    <vt:lpwstr> </vt:lpwstr>
  </property>
  <property fmtid="{D5CDD505-2E9C-101B-9397-08002B2CF9AE}" pid="61" name="DN_SAG_CPR">
    <vt:lpwstr> </vt:lpwstr>
  </property>
  <property fmtid="{D5CDD505-2E9C-101B-9397-08002B2CF9AE}" pid="62" name="DN_SAG_Stilling">
    <vt:lpwstr> </vt:lpwstr>
  </property>
  <property fmtid="{D5CDD505-2E9C-101B-9397-08002B2CF9AE}" pid="63" name="DN_SAG_Afdeling">
    <vt:lpwstr> </vt:lpwstr>
  </property>
  <property fmtid="{D5CDD505-2E9C-101B-9397-08002B2CF9AE}" pid="64" name="DN_SAG_Fagforening">
    <vt:lpwstr> </vt:lpwstr>
  </property>
  <property fmtid="{D5CDD505-2E9C-101B-9397-08002B2CF9AE}" pid="65" name="DN_SAG_Arb_o_nr">
    <vt:lpwstr> </vt:lpwstr>
  </property>
  <property fmtid="{D5CDD505-2E9C-101B-9397-08002B2CF9AE}" pid="66" name="DN_Sag_Kalkulationsdato">
    <vt:lpwstr> </vt:lpwstr>
  </property>
  <property fmtid="{D5CDD505-2E9C-101B-9397-08002B2CF9AE}" pid="67" name="DN_SAG_Sagsbehandler_Initialer">
    <vt:lpwstr> </vt:lpwstr>
  </property>
  <property fmtid="{D5CDD505-2E9C-101B-9397-08002B2CF9AE}" pid="68" name="DN_SAG_Omraade">
    <vt:lpwstr> </vt:lpwstr>
  </property>
  <property fmtid="{D5CDD505-2E9C-101B-9397-08002B2CF9AE}" pid="69" name="Comments">
    <vt:lpwstr> </vt:lpwstr>
  </property>
  <property fmtid="{D5CDD505-2E9C-101B-9397-08002B2CF9AE}" pid="70" name="DN_DOK_Navn">
    <vt:lpwstr> </vt:lpwstr>
  </property>
  <property fmtid="{D5CDD505-2E9C-101B-9397-08002B2CF9AE}" pid="71" name="DN_DOK_Stilling">
    <vt:lpwstr> </vt:lpwstr>
  </property>
  <property fmtid="{D5CDD505-2E9C-101B-9397-08002B2CF9AE}" pid="72" name="DN_DOK_Ansættelsesdato">
    <vt:lpwstr> </vt:lpwstr>
  </property>
  <property fmtid="{D5CDD505-2E9C-101B-9397-08002B2CF9AE}" pid="73" name="DN_DOK_Timer">
    <vt:lpwstr> </vt:lpwstr>
  </property>
  <property fmtid="{D5CDD505-2E9C-101B-9397-08002B2CF9AE}" pid="74" name="DN_DOK_Fagforening">
    <vt:lpwstr> </vt:lpwstr>
  </property>
  <property fmtid="{D5CDD505-2E9C-101B-9397-08002B2CF9AE}" pid="75" name="DN_DOK_Persionsbidrag">
    <vt:lpwstr> </vt:lpwstr>
  </property>
  <property fmtid="{D5CDD505-2E9C-101B-9397-08002B2CF9AE}" pid="76" name="DN_DOK_Jordarbejde">
    <vt:lpwstr> </vt:lpwstr>
  </property>
  <property fmtid="{D5CDD505-2E9C-101B-9397-08002B2CF9AE}" pid="77" name="DN_DOK_Smedearbejde">
    <vt:lpwstr> </vt:lpwstr>
  </property>
  <property fmtid="{D5CDD505-2E9C-101B-9397-08002B2CF9AE}" pid="78" name="DN_DOK_Materialer">
    <vt:lpwstr> </vt:lpwstr>
  </property>
  <property fmtid="{D5CDD505-2E9C-101B-9397-08002B2CF9AE}" pid="79" name="DN_DOK_ProjekteringGIStilsyn">
    <vt:lpwstr> </vt:lpwstr>
  </property>
  <property fmtid="{D5CDD505-2E9C-101B-9397-08002B2CF9AE}" pid="80" name="DN_DOK_Ialt">
    <vt:lpwstr> </vt:lpwstr>
  </property>
  <property fmtid="{D5CDD505-2E9C-101B-9397-08002B2CF9AE}" pid="81" name="DN_DOK_Tilsyn_Initialer">
    <vt:lpwstr> </vt:lpwstr>
  </property>
  <property fmtid="{D5CDD505-2E9C-101B-9397-08002B2CF9AE}" pid="82" name="DN_SAG_Kunde">
    <vt:lpwstr> </vt:lpwstr>
  </property>
  <property fmtid="{D5CDD505-2E9C-101B-9397-08002B2CF9AE}" pid="83" name="DN_SAG_Forkalkulationsdato">
    <vt:lpwstr> </vt:lpwstr>
  </property>
  <property fmtid="{D5CDD505-2E9C-101B-9397-08002B2CF9AE}" pid="84" name="DN_DOK_Fejlbeskrivelse">
    <vt:lpwstr> </vt:lpwstr>
  </property>
  <property fmtid="{D5CDD505-2E9C-101B-9397-08002B2CF9AE}" pid="85" name="DN_DOK_Fejlangivelse">
    <vt:lpwstr> </vt:lpwstr>
  </property>
  <property fmtid="{D5CDD505-2E9C-101B-9397-08002B2CF9AE}" pid="86" name="DN_DOK_Fejlmeddelt">
    <vt:lpwstr> </vt:lpwstr>
  </property>
  <property fmtid="{D5CDD505-2E9C-101B-9397-08002B2CF9AE}" pid="87" name="DN_DOK_Fejldato">
    <vt:lpwstr> </vt:lpwstr>
  </property>
  <property fmtid="{D5CDD505-2E9C-101B-9397-08002B2CF9AE}" pid="88" name="DN_DOK_Arbejdstid">
    <vt:lpwstr> </vt:lpwstr>
  </property>
  <property fmtid="{D5CDD505-2E9C-101B-9397-08002B2CF9AE}" pid="89" name="DN_DOK_Kunde">
    <vt:lpwstr> </vt:lpwstr>
  </property>
  <property fmtid="{D5CDD505-2E9C-101B-9397-08002B2CF9AE}" pid="90" name="DN_DOK_Telefon1">
    <vt:lpwstr> </vt:lpwstr>
  </property>
  <property fmtid="{D5CDD505-2E9C-101B-9397-08002B2CF9AE}" pid="91" name="DN_DOK_Telefon2">
    <vt:lpwstr> </vt:lpwstr>
  </property>
  <property fmtid="{D5CDD505-2E9C-101B-9397-08002B2CF9AE}" pid="92" name="DN_DOK_ModtagetAf">
    <vt:lpwstr> </vt:lpwstr>
  </property>
  <property fmtid="{D5CDD505-2E9C-101B-9397-08002B2CF9AE}" pid="93" name="DN_DOK_M3">
    <vt:lpwstr> </vt:lpwstr>
  </property>
  <property fmtid="{D5CDD505-2E9C-101B-9397-08002B2CF9AE}" pid="94" name="DN_DOK_GJ">
    <vt:lpwstr> </vt:lpwstr>
  </property>
  <property fmtid="{D5CDD505-2E9C-101B-9397-08002B2CF9AE}" pid="95" name="DN_DOK_TFremRetur">
    <vt:lpwstr> </vt:lpwstr>
  </property>
  <property fmtid="{D5CDD505-2E9C-101B-9397-08002B2CF9AE}" pid="96" name="DN_DOK_Hovedhaner">
    <vt:lpwstr> </vt:lpwstr>
  </property>
  <property fmtid="{D5CDD505-2E9C-101B-9397-08002B2CF9AE}" pid="97" name="DN_DOK_Fejltype">
    <vt:lpwstr> </vt:lpwstr>
  </property>
  <property fmtid="{D5CDD505-2E9C-101B-9397-08002B2CF9AE}" pid="98" name="DN_DOK_FejlUdbedret">
    <vt:lpwstr> </vt:lpwstr>
  </property>
  <property fmtid="{D5CDD505-2E9C-101B-9397-08002B2CF9AE}" pid="99" name="DN_DOK_Klokken">
    <vt:lpwstr> </vt:lpwstr>
  </property>
  <property fmtid="{D5CDD505-2E9C-101B-9397-08002B2CF9AE}" pid="100" name="DN_DOK_FejlUdbedretAF">
    <vt:lpwstr> </vt:lpwstr>
  </property>
  <property fmtid="{D5CDD505-2E9C-101B-9397-08002B2CF9AE}" pid="101" name="DN_DOK_SetAf">
    <vt:lpwstr> </vt:lpwstr>
  </property>
  <property fmtid="{D5CDD505-2E9C-101B-9397-08002B2CF9AE}" pid="102" name="DN_Dok_AflæsningTimer">
    <vt:lpwstr> </vt:lpwstr>
  </property>
  <property fmtid="{D5CDD505-2E9C-101B-9397-08002B2CF9AE}" pid="103" name="DN_DOK_Bemærkninger">
    <vt:lpwstr> </vt:lpwstr>
  </property>
  <property fmtid="{D5CDD505-2E9C-101B-9397-08002B2CF9AE}" pid="104" name="DN_DOK_Arb_o_nr">
    <vt:lpwstr> </vt:lpwstr>
  </property>
  <property fmtid="{D5CDD505-2E9C-101B-9397-08002B2CF9AE}" pid="105" name="DN_DOK_Vedr">
    <vt:lpwstr> </vt:lpwstr>
  </property>
  <property fmtid="{D5CDD505-2E9C-101B-9397-08002B2CF9AE}" pid="106" name="DN_DOK_tegningsnummer">
    <vt:lpwstr> </vt:lpwstr>
  </property>
  <property fmtid="{D5CDD505-2E9C-101B-9397-08002B2CF9AE}" pid="107" name="DN_DOK_ugenr">
    <vt:lpwstr> </vt:lpwstr>
  </property>
  <property fmtid="{D5CDD505-2E9C-101B-9397-08002B2CF9AE}" pid="108" name="DN_DOK_årstal">
    <vt:lpwstr> </vt:lpwstr>
  </property>
  <property fmtid="{D5CDD505-2E9C-101B-9397-08002B2CF9AE}" pid="109" name="DN_DOK_Kontaktperson">
    <vt:lpwstr> </vt:lpwstr>
  </property>
  <property fmtid="{D5CDD505-2E9C-101B-9397-08002B2CF9AE}" pid="110" name="DN_DOK_Meter">
    <vt:lpwstr> </vt:lpwstr>
  </property>
  <property fmtid="{D5CDD505-2E9C-101B-9397-08002B2CF9AE}" pid="111" name="DN_DOK_m2_ejendom">
    <vt:lpwstr> </vt:lpwstr>
  </property>
  <property fmtid="{D5CDD505-2E9C-101B-9397-08002B2CF9AE}" pid="112" name="DN_DOK_m2_kælder">
    <vt:lpwstr> </vt:lpwstr>
  </property>
  <property fmtid="{D5CDD505-2E9C-101B-9397-08002B2CF9AE}" pid="113" name="DN_DOK_Afkryds_GAS">
    <vt:lpwstr> </vt:lpwstr>
  </property>
  <property fmtid="{D5CDD505-2E9C-101B-9397-08002B2CF9AE}" pid="114" name="DN_DOK_Fjern_Olietank">
    <vt:lpwstr> </vt:lpwstr>
  </property>
  <property fmtid="{D5CDD505-2E9C-101B-9397-08002B2CF9AE}" pid="115" name="DN_DOK_VVS_installation">
    <vt:lpwstr> </vt:lpwstr>
  </property>
  <property fmtid="{D5CDD505-2E9C-101B-9397-08002B2CF9AE}" pid="116" name="DN_DOK_Finansiering">
    <vt:lpwstr> </vt:lpwstr>
  </property>
  <property fmtid="{D5CDD505-2E9C-101B-9397-08002B2CF9AE}" pid="117" name="DN_DOK_Samlet_Pris">
    <vt:lpwstr> </vt:lpwstr>
  </property>
  <property fmtid="{D5CDD505-2E9C-101B-9397-08002B2CF9AE}" pid="118" name="DN_DOK_Underskriftsdato">
    <vt:lpwstr> </vt:lpwstr>
  </property>
  <property fmtid="{D5CDD505-2E9C-101B-9397-08002B2CF9AE}" pid="119" name="DN_DOK_Anlægsadresse_Gade">
    <vt:lpwstr> </vt:lpwstr>
  </property>
  <property fmtid="{D5CDD505-2E9C-101B-9397-08002B2CF9AE}" pid="120" name="DN_DOK_Anlægsadresse_Postnr">
    <vt:lpwstr> </vt:lpwstr>
  </property>
  <property fmtid="{D5CDD505-2E9C-101B-9397-08002B2CF9AE}" pid="121" name="DN_DOK_Anlægsadresse_By">
    <vt:lpwstr> </vt:lpwstr>
  </property>
  <property fmtid="{D5CDD505-2E9C-101B-9397-08002B2CF9AE}" pid="122" name="DN_DOK_Besøgsdato">
    <vt:lpwstr> </vt:lpwstr>
  </property>
  <property fmtid="{D5CDD505-2E9C-101B-9397-08002B2CF9AE}" pid="123" name="DN_DOK_Brugernavn">
    <vt:lpwstr> </vt:lpwstr>
  </property>
  <property fmtid="{D5CDD505-2E9C-101B-9397-08002B2CF9AE}" pid="124" name="DN_DOK_Dokument_Nr">
    <vt:lpwstr>D14-5256</vt:lpwstr>
  </property>
  <property fmtid="{D5CDD505-2E9C-101B-9397-08002B2CF9AE}" pid="125" name="DN_DOK_Låntager1_Navn">
    <vt:lpwstr> </vt:lpwstr>
  </property>
  <property fmtid="{D5CDD505-2E9C-101B-9397-08002B2CF9AE}" pid="126" name="DN_DOK_Låntager1_Gade">
    <vt:lpwstr> </vt:lpwstr>
  </property>
  <property fmtid="{D5CDD505-2E9C-101B-9397-08002B2CF9AE}" pid="127" name="DN_DOK_Låntager1_PostNr">
    <vt:lpwstr> </vt:lpwstr>
  </property>
  <property fmtid="{D5CDD505-2E9C-101B-9397-08002B2CF9AE}" pid="128" name="DN_DOK_Låntager1_By">
    <vt:lpwstr> </vt:lpwstr>
  </property>
  <property fmtid="{D5CDD505-2E9C-101B-9397-08002B2CF9AE}" pid="129" name="DN_DOK_Låntager2_Navn">
    <vt:lpwstr> </vt:lpwstr>
  </property>
  <property fmtid="{D5CDD505-2E9C-101B-9397-08002B2CF9AE}" pid="130" name="DN_DOK_Låntager2_Gade">
    <vt:lpwstr> </vt:lpwstr>
  </property>
  <property fmtid="{D5CDD505-2E9C-101B-9397-08002B2CF9AE}" pid="131" name="DN_DOK_Låntager2_PostNr">
    <vt:lpwstr> </vt:lpwstr>
  </property>
  <property fmtid="{D5CDD505-2E9C-101B-9397-08002B2CF9AE}" pid="132" name="DN_DOK_Låntager2_By">
    <vt:lpwstr> </vt:lpwstr>
  </property>
  <property fmtid="{D5CDD505-2E9C-101B-9397-08002B2CF9AE}" pid="133" name="DN_DOK_Lån_Minus_Rente">
    <vt:lpwstr> </vt:lpwstr>
  </property>
  <property fmtid="{D5CDD505-2E9C-101B-9397-08002B2CF9AE}" pid="134" name="DN_DOK_Skriver_Kroner">
    <vt:lpwstr> </vt:lpwstr>
  </property>
  <property fmtid="{D5CDD505-2E9C-101B-9397-08002B2CF9AE}" pid="135" name="DN_DOK_Lån_Plus_Rente">
    <vt:lpwstr> </vt:lpwstr>
  </property>
  <property fmtid="{D5CDD505-2E9C-101B-9397-08002B2CF9AE}" pid="136" name="DN_DOK_Kvartalsrate">
    <vt:lpwstr> </vt:lpwstr>
  </property>
  <property fmtid="{D5CDD505-2E9C-101B-9397-08002B2CF9AE}" pid="137" name="DN_DOK_Første_Dag">
    <vt:lpwstr> </vt:lpwstr>
  </property>
  <property fmtid="{D5CDD505-2E9C-101B-9397-08002B2CF9AE}" pid="138" name="DN_DOK_Første_Kvartal">
    <vt:lpwstr> </vt:lpwstr>
  </property>
  <property fmtid="{D5CDD505-2E9C-101B-9397-08002B2CF9AE}" pid="139" name="DN_DOK_Første_år">
    <vt:lpwstr> </vt:lpwstr>
  </property>
  <property fmtid="{D5CDD505-2E9C-101B-9397-08002B2CF9AE}" pid="140" name="DN_DOK_Sidste_Kvartal">
    <vt:lpwstr> </vt:lpwstr>
  </property>
  <property fmtid="{D5CDD505-2E9C-101B-9397-08002B2CF9AE}" pid="141" name="DN_DOK_Sidste_År">
    <vt:lpwstr> </vt:lpwstr>
  </property>
  <property fmtid="{D5CDD505-2E9C-101B-9397-08002B2CF9AE}" pid="142" name="DN_DOK_Fast_Rente">
    <vt:lpwstr> </vt:lpwstr>
  </property>
  <property fmtid="{D5CDD505-2E9C-101B-9397-08002B2CF9AE}" pid="143" name="DN_DOK_Antal_Ydelser">
    <vt:lpwstr> </vt:lpwstr>
  </property>
  <property fmtid="{D5CDD505-2E9C-101B-9397-08002B2CF9AE}" pid="144" name="DN_DOK_Antal_år">
    <vt:lpwstr> </vt:lpwstr>
  </property>
  <property fmtid="{D5CDD505-2E9C-101B-9397-08002B2CF9AE}" pid="145" name="DN_SAG_Postadresse">
    <vt:lpwstr> </vt:lpwstr>
  </property>
  <property fmtid="{D5CDD505-2E9C-101B-9397-08002B2CF9AE}" pid="146" name="DN_SAG_Målernr">
    <vt:lpwstr> </vt:lpwstr>
  </property>
  <property fmtid="{D5CDD505-2E9C-101B-9397-08002B2CF9AE}" pid="147" name="DN_SAG_Følernes_placering">
    <vt:lpwstr> </vt:lpwstr>
  </property>
  <property fmtid="{D5CDD505-2E9C-101B-9397-08002B2CF9AE}" pid="148" name="DN_SAG_Målers_placering">
    <vt:lpwstr> </vt:lpwstr>
  </property>
  <property fmtid="{D5CDD505-2E9C-101B-9397-08002B2CF9AE}" pid="149" name="DN_SAG_Plomber">
    <vt:lpwstr> </vt:lpwstr>
  </property>
  <property fmtid="{D5CDD505-2E9C-101B-9397-08002B2CF9AE}" pid="150" name="DN_SAG_EL_tilslutning">
    <vt:lpwstr> </vt:lpwstr>
  </property>
  <property fmtid="{D5CDD505-2E9C-101B-9397-08002B2CF9AE}" pid="151" name="DN_SAG_Billeder">
    <vt:lpwstr> </vt:lpwstr>
  </property>
  <property fmtid="{D5CDD505-2E9C-101B-9397-08002B2CF9AE}" pid="152" name="DN_SAG_Måler_udleveret">
    <vt:lpwstr> </vt:lpwstr>
  </property>
  <property fmtid="{D5CDD505-2E9C-101B-9397-08002B2CF9AE}" pid="153" name="DN_SAG_Måler_opsat">
    <vt:lpwstr> </vt:lpwstr>
  </property>
  <property fmtid="{D5CDD505-2E9C-101B-9397-08002B2CF9AE}" pid="154" name="DN_SAG_Bemærkninger">
    <vt:lpwstr> </vt:lpwstr>
  </property>
  <property fmtid="{D5CDD505-2E9C-101B-9397-08002B2CF9AE}" pid="155" name="DN_SAG_Adresse">
    <vt:lpwstr> </vt:lpwstr>
  </property>
  <property fmtid="{D5CDD505-2E9C-101B-9397-08002B2CF9AE}" pid="156" name="DN_SAG_Telefon1">
    <vt:lpwstr> </vt:lpwstr>
  </property>
  <property fmtid="{D5CDD505-2E9C-101B-9397-08002B2CF9AE}" pid="157" name="DN_SAG_Telefon2">
    <vt:lpwstr> </vt:lpwstr>
  </property>
  <property fmtid="{D5CDD505-2E9C-101B-9397-08002B2CF9AE}" pid="158" name="DN_SAG_E_mail">
    <vt:lpwstr> </vt:lpwstr>
  </property>
  <property fmtid="{D5CDD505-2E9C-101B-9397-08002B2CF9AE}" pid="159" name="DN_SAG_kunde_Fuldenavn">
    <vt:lpwstr> </vt:lpwstr>
  </property>
  <property fmtid="{D5CDD505-2E9C-101B-9397-08002B2CF9AE}" pid="160" name="DN_SAG_Kunde_Gade">
    <vt:lpwstr> </vt:lpwstr>
  </property>
  <property fmtid="{D5CDD505-2E9C-101B-9397-08002B2CF9AE}" pid="161" name="DN_SAG_Kunde_Postnr">
    <vt:lpwstr> </vt:lpwstr>
  </property>
  <property fmtid="{D5CDD505-2E9C-101B-9397-08002B2CF9AE}" pid="162" name="DN_SAG_Kunde_By">
    <vt:lpwstr> </vt:lpwstr>
  </property>
  <property fmtid="{D5CDD505-2E9C-101B-9397-08002B2CF9AE}" pid="163" name="DN_SAG_Projekttype">
    <vt:lpwstr> </vt:lpwstr>
  </property>
  <property fmtid="{D5CDD505-2E9C-101B-9397-08002B2CF9AE}" pid="164" name="DN_SAG_Overenskomst">
    <vt:lpwstr> </vt:lpwstr>
  </property>
  <property fmtid="{D5CDD505-2E9C-101B-9397-08002B2CF9AE}" pid="165" name="DN_SAG_Medarb_nr">
    <vt:lpwstr> </vt:lpwstr>
  </property>
  <property fmtid="{D5CDD505-2E9C-101B-9397-08002B2CF9AE}" pid="166" name="DN_SAG_Postadr_Fuldenavn">
    <vt:lpwstr> </vt:lpwstr>
  </property>
  <property fmtid="{D5CDD505-2E9C-101B-9397-08002B2CF9AE}" pid="167" name="DN_SAG_Postadr_Gade">
    <vt:lpwstr> </vt:lpwstr>
  </property>
  <property fmtid="{D5CDD505-2E9C-101B-9397-08002B2CF9AE}" pid="168" name="DN_SAG_Postadr_Postnr">
    <vt:lpwstr> </vt:lpwstr>
  </property>
  <property fmtid="{D5CDD505-2E9C-101B-9397-08002B2CF9AE}" pid="169" name="DN_SAG_Postadr_By">
    <vt:lpwstr> </vt:lpwstr>
  </property>
  <property fmtid="{D5CDD505-2E9C-101B-9397-08002B2CF9AE}" pid="170" name="DN_SAG_Ansættelsesdato">
    <vt:lpwstr> </vt:lpwstr>
  </property>
  <property fmtid="{D5CDD505-2E9C-101B-9397-08002B2CF9AE}" pid="171" name="DN_SAG_Fratrædelsesdato">
    <vt:lpwstr> </vt:lpwstr>
  </property>
  <property fmtid="{D5CDD505-2E9C-101B-9397-08002B2CF9AE}" pid="172" name="DN_SAG_SystemEjer">
    <vt:lpwstr> </vt:lpwstr>
  </property>
  <property fmtid="{D5CDD505-2E9C-101B-9397-08002B2CF9AE}" pid="173" name="DN_SAG_DataEjer">
    <vt:lpwstr> </vt:lpwstr>
  </property>
  <property fmtid="{D5CDD505-2E9C-101B-9397-08002B2CF9AE}" pid="174" name="DN_SAG_SupIntNavn1">
    <vt:lpwstr> </vt:lpwstr>
  </property>
  <property fmtid="{D5CDD505-2E9C-101B-9397-08002B2CF9AE}" pid="175" name="DN_SAG_Leverandør">
    <vt:lpwstr> </vt:lpwstr>
  </property>
  <property fmtid="{D5CDD505-2E9C-101B-9397-08002B2CF9AE}" pid="176" name="DN_SAG_SupEksNavn1">
    <vt:lpwstr> </vt:lpwstr>
  </property>
  <property fmtid="{D5CDD505-2E9C-101B-9397-08002B2CF9AE}" pid="177" name="DN_SAG_Bemærkninger2">
    <vt:lpwstr> </vt:lpwstr>
  </property>
  <property fmtid="{D5CDD505-2E9C-101B-9397-08002B2CF9AE}" pid="178" name="DN_SAG_ServerNavne">
    <vt:lpwstr> </vt:lpwstr>
  </property>
  <property fmtid="{D5CDD505-2E9C-101B-9397-08002B2CF9AE}" pid="179" name="DN_SAG_SupIntAfd1">
    <vt:lpwstr> </vt:lpwstr>
  </property>
  <property fmtid="{D5CDD505-2E9C-101B-9397-08002B2CF9AE}" pid="180" name="DN_SAG_SupIntTlf1">
    <vt:lpwstr> </vt:lpwstr>
  </property>
  <property fmtid="{D5CDD505-2E9C-101B-9397-08002B2CF9AE}" pid="181" name="DN_SAG_SupIntNavn2">
    <vt:lpwstr> </vt:lpwstr>
  </property>
  <property fmtid="{D5CDD505-2E9C-101B-9397-08002B2CF9AE}" pid="182" name="DN_SAG_SupIntAfd2">
    <vt:lpwstr> </vt:lpwstr>
  </property>
  <property fmtid="{D5CDD505-2E9C-101B-9397-08002B2CF9AE}" pid="183" name="DN_SAG_SupIntTlf2">
    <vt:lpwstr> </vt:lpwstr>
  </property>
  <property fmtid="{D5CDD505-2E9C-101B-9397-08002B2CF9AE}" pid="184" name="DN_SAG_SupIntNavn3">
    <vt:lpwstr> </vt:lpwstr>
  </property>
  <property fmtid="{D5CDD505-2E9C-101B-9397-08002B2CF9AE}" pid="185" name="DN_SAG_SupIntAfd3">
    <vt:lpwstr> </vt:lpwstr>
  </property>
  <property fmtid="{D5CDD505-2E9C-101B-9397-08002B2CF9AE}" pid="186" name="DN_SAG_SupIntTlf3">
    <vt:lpwstr> </vt:lpwstr>
  </property>
  <property fmtid="{D5CDD505-2E9C-101B-9397-08002B2CF9AE}" pid="187" name="DN_SAG_SupEksFirma1">
    <vt:lpwstr> </vt:lpwstr>
  </property>
  <property fmtid="{D5CDD505-2E9C-101B-9397-08002B2CF9AE}" pid="188" name="DN_SAG_SupEksEmail1">
    <vt:lpwstr> </vt:lpwstr>
  </property>
  <property fmtid="{D5CDD505-2E9C-101B-9397-08002B2CF9AE}" pid="189" name="DN_SAG_SupEksTlf1">
    <vt:lpwstr> </vt:lpwstr>
  </property>
  <property fmtid="{D5CDD505-2E9C-101B-9397-08002B2CF9AE}" pid="190" name="DN_SAG_Afdelingsnummer">
    <vt:lpwstr> </vt:lpwstr>
  </property>
  <property fmtid="{D5CDD505-2E9C-101B-9397-08002B2CF9AE}" pid="191" name="DN_SAG_Leverandør2">
    <vt:lpwstr> </vt:lpwstr>
  </property>
  <property fmtid="{D5CDD505-2E9C-101B-9397-08002B2CF9AE}" pid="192" name="DN_SAG_SupEksNavn2">
    <vt:lpwstr> </vt:lpwstr>
  </property>
  <property fmtid="{D5CDD505-2E9C-101B-9397-08002B2CF9AE}" pid="193" name="DN_SAG_SupEksFirma2">
    <vt:lpwstr> </vt:lpwstr>
  </property>
  <property fmtid="{D5CDD505-2E9C-101B-9397-08002B2CF9AE}" pid="194" name="DN_SAG_SupEksEmail2">
    <vt:lpwstr> </vt:lpwstr>
  </property>
  <property fmtid="{D5CDD505-2E9C-101B-9397-08002B2CF9AE}" pid="195" name="DN_SAG_SupEksTlf2">
    <vt:lpwstr> </vt:lpwstr>
  </property>
  <property fmtid="{D5CDD505-2E9C-101B-9397-08002B2CF9AE}" pid="196" name="DN_SAG_SupEksNavn3">
    <vt:lpwstr> </vt:lpwstr>
  </property>
  <property fmtid="{D5CDD505-2E9C-101B-9397-08002B2CF9AE}" pid="197" name="DN_SAG_SupEksFirma3">
    <vt:lpwstr> </vt:lpwstr>
  </property>
  <property fmtid="{D5CDD505-2E9C-101B-9397-08002B2CF9AE}" pid="198" name="DN_SAG_SupEksEmail3">
    <vt:lpwstr> </vt:lpwstr>
  </property>
  <property fmtid="{D5CDD505-2E9C-101B-9397-08002B2CF9AE}" pid="199" name="DN_SAG_SupEksTlf3">
    <vt:lpwstr> </vt:lpwstr>
  </property>
  <property fmtid="{D5CDD505-2E9C-101B-9397-08002B2CF9AE}" pid="200" name="DN_SAG_SupEksNavn4">
    <vt:lpwstr> </vt:lpwstr>
  </property>
  <property fmtid="{D5CDD505-2E9C-101B-9397-08002B2CF9AE}" pid="201" name="DN_SAG_SupEksFirma4">
    <vt:lpwstr> </vt:lpwstr>
  </property>
  <property fmtid="{D5CDD505-2E9C-101B-9397-08002B2CF9AE}" pid="202" name="DN_SAG_SupEksEmail4">
    <vt:lpwstr> </vt:lpwstr>
  </property>
  <property fmtid="{D5CDD505-2E9C-101B-9397-08002B2CF9AE}" pid="203" name="DN_SAG_SupEksTlf4">
    <vt:lpwstr> </vt:lpwstr>
  </property>
  <property fmtid="{D5CDD505-2E9C-101B-9397-08002B2CF9AE}" pid="204" name="DN_SAG_SupEksNavn5">
    <vt:lpwstr> </vt:lpwstr>
  </property>
  <property fmtid="{D5CDD505-2E9C-101B-9397-08002B2CF9AE}" pid="205" name="DN_SAG_SupEksFirma5">
    <vt:lpwstr> </vt:lpwstr>
  </property>
  <property fmtid="{D5CDD505-2E9C-101B-9397-08002B2CF9AE}" pid="206" name="DN_SAG_SupEksEmail5">
    <vt:lpwstr> </vt:lpwstr>
  </property>
  <property fmtid="{D5CDD505-2E9C-101B-9397-08002B2CF9AE}" pid="207" name="DN_SAG_SupEksTlf5">
    <vt:lpwstr> </vt:lpwstr>
  </property>
  <property fmtid="{D5CDD505-2E9C-101B-9397-08002B2CF9AE}" pid="208" name="DN_SAG_SupIntNavn4">
    <vt:lpwstr> </vt:lpwstr>
  </property>
  <property fmtid="{D5CDD505-2E9C-101B-9397-08002B2CF9AE}" pid="209" name="DN_SAG_SupIntAfd4">
    <vt:lpwstr> </vt:lpwstr>
  </property>
  <property fmtid="{D5CDD505-2E9C-101B-9397-08002B2CF9AE}" pid="210" name="DN_SAG_SupIntTlf4">
    <vt:lpwstr> </vt:lpwstr>
  </property>
  <property fmtid="{D5CDD505-2E9C-101B-9397-08002B2CF9AE}" pid="211" name="DN_SAG_SupIntNavn5">
    <vt:lpwstr> </vt:lpwstr>
  </property>
  <property fmtid="{D5CDD505-2E9C-101B-9397-08002B2CF9AE}" pid="212" name="DN_SAG_SupIntAfd5">
    <vt:lpwstr> </vt:lpwstr>
  </property>
  <property fmtid="{D5CDD505-2E9C-101B-9397-08002B2CF9AE}" pid="213" name="DN_SAG_SupIntTlf5">
    <vt:lpwstr> </vt:lpwstr>
  </property>
  <property fmtid="{D5CDD505-2E9C-101B-9397-08002B2CF9AE}" pid="214" name="DN_DOK_Org_Afdeling">
    <vt:lpwstr> </vt:lpwstr>
  </property>
  <property fmtid="{D5CDD505-2E9C-101B-9397-08002B2CF9AE}" pid="215" name="DN_DOK_Startdato">
    <vt:lpwstr> </vt:lpwstr>
  </property>
  <property fmtid="{D5CDD505-2E9C-101B-9397-08002B2CF9AE}" pid="216" name="DN_DOK_Grundløntrin">
    <vt:lpwstr> </vt:lpwstr>
  </property>
  <property fmtid="{D5CDD505-2E9C-101B-9397-08002B2CF9AE}" pid="217" name="DN_DOK_Funktionsløn">
    <vt:lpwstr> </vt:lpwstr>
  </property>
  <property fmtid="{D5CDD505-2E9C-101B-9397-08002B2CF9AE}" pid="218" name="DN_DOK_Kvalifikationsløn">
    <vt:lpwstr> </vt:lpwstr>
  </property>
  <property fmtid="{D5CDD505-2E9C-101B-9397-08002B2CF9AE}" pid="219" name="DN_DOK_Løntrin_i_alt">
    <vt:lpwstr> </vt:lpwstr>
  </property>
  <property fmtid="{D5CDD505-2E9C-101B-9397-08002B2CF9AE}" pid="220" name="DN_DOK_Nettobeløb">
    <vt:lpwstr> </vt:lpwstr>
  </property>
  <property fmtid="{D5CDD505-2E9C-101B-9397-08002B2CF9AE}" pid="221" name="DN_DOK_Bruttobeløb">
    <vt:lpwstr> </vt:lpwstr>
  </property>
  <property fmtid="{D5CDD505-2E9C-101B-9397-08002B2CF9AE}" pid="222" name="DN_DOK_TXT_Fagforening">
    <vt:lpwstr> </vt:lpwstr>
  </property>
  <property fmtid="{D5CDD505-2E9C-101B-9397-08002B2CF9AE}" pid="223" name="DN_SAG_Højtryksledning">
    <vt:lpwstr> </vt:lpwstr>
  </property>
  <property fmtid="{D5CDD505-2E9C-101B-9397-08002B2CF9AE}" pid="224" name="DN_SAG_CPR_4_sidste">
    <vt:lpwstr> </vt:lpwstr>
  </property>
</Properties>
</file>