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fjernvarmefyn365-my.sharepoint.com/personal/as_fjernvarmefyn_dk/Documents/Desktop/Nye områder/"/>
    </mc:Choice>
  </mc:AlternateContent>
  <xr:revisionPtr revIDLastSave="11" documentId="8_{2BC18078-EC6C-494E-AC6C-BEFD00ED85BF}" xr6:coauthVersionLast="45" xr6:coauthVersionMax="45" xr10:uidLastSave="{4D6E5443-54E0-4655-9FA8-C32FF3F0E804}"/>
  <bookViews>
    <workbookView xWindow="-120" yWindow="-120" windowWidth="29040" windowHeight="17640" xr2:uid="{00000000-000D-0000-FFFF-FFFF00000000}"/>
  </bookViews>
  <sheets>
    <sheet name="Inddata" sheetId="1" r:id="rId1"/>
    <sheet name="Energipriser og omkostninger" sheetId="2" r:id="rId2"/>
    <sheet name="Etablering" sheetId="3" r:id="rId3"/>
    <sheet name="Etablering__blindstik" sheetId="5" r:id="rId4"/>
    <sheet name="Finansiering" sheetId="6" r:id="rId5"/>
    <sheet name="Udtræk" sheetId="4" state="hidden" r:id="rId6"/>
  </sheets>
  <externalReferences>
    <externalReference r:id="rId7"/>
  </externalReferences>
  <definedNames>
    <definedName name="_xlnm.Print_Area" localSheetId="1">'Energipriser og omkostninger'!$A$1:$C$40</definedName>
    <definedName name="_xlnm.Print_Area" localSheetId="0">Inddata!$A$1:$C$47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" i="5" l="1"/>
  <c r="B8" i="5"/>
  <c r="A2" i="5"/>
  <c r="B6" i="3" l="1"/>
  <c r="B16" i="5" s="1"/>
  <c r="B17" i="5" s="1"/>
  <c r="B24" i="1" l="1"/>
  <c r="B20" i="2" l="1"/>
  <c r="B31" i="2" l="1"/>
  <c r="B30" i="1" l="1"/>
  <c r="P49" i="1"/>
  <c r="M19" i="2"/>
  <c r="B18" i="1"/>
  <c r="C28" i="1"/>
  <c r="P44" i="1"/>
  <c r="R44" i="1" l="1"/>
  <c r="R49" i="1"/>
  <c r="B7" i="3" l="1"/>
  <c r="B6" i="5" s="1"/>
  <c r="B12" i="5" l="1"/>
  <c r="B18" i="3"/>
  <c r="F9" i="4" s="1"/>
  <c r="G9" i="4" s="1"/>
  <c r="A29" i="3" l="1"/>
  <c r="A2" i="3" l="1"/>
  <c r="A2" i="2"/>
  <c r="B28" i="2" l="1"/>
  <c r="C20" i="2"/>
  <c r="B19" i="2" l="1"/>
  <c r="C19" i="2"/>
  <c r="M20" i="2"/>
  <c r="C18" i="2" s="1"/>
  <c r="B18" i="2"/>
  <c r="P46" i="1"/>
  <c r="B13" i="3"/>
  <c r="C22" i="2"/>
  <c r="B22" i="2"/>
  <c r="B19" i="3"/>
  <c r="A23" i="3" s="1"/>
  <c r="P48" i="1"/>
  <c r="R48" i="1" s="1"/>
  <c r="P47" i="1"/>
  <c r="P41" i="1"/>
  <c r="P42" i="1"/>
  <c r="P43" i="1"/>
  <c r="R43" i="1" s="1"/>
  <c r="B30" i="2"/>
  <c r="B8" i="3"/>
  <c r="B9" i="3"/>
  <c r="C21" i="2"/>
  <c r="B10" i="3" l="1"/>
  <c r="B7" i="5"/>
  <c r="B9" i="5" s="1"/>
  <c r="B13" i="5" s="1"/>
  <c r="B20" i="3"/>
  <c r="F7" i="4"/>
  <c r="G7" i="4" s="1"/>
  <c r="B21" i="2"/>
  <c r="B23" i="2" s="1"/>
  <c r="R47" i="1"/>
  <c r="R42" i="1"/>
  <c r="R46" i="1"/>
  <c r="C23" i="2"/>
  <c r="R41" i="1"/>
  <c r="B29" i="1" l="1"/>
  <c r="B33" i="1" l="1"/>
  <c r="B26" i="2" s="1"/>
  <c r="B15" i="3"/>
  <c r="B23" i="3" s="1"/>
  <c r="B22" i="3" l="1"/>
  <c r="C6" i="6"/>
  <c r="B18" i="6" s="1"/>
  <c r="F18" i="6" s="1"/>
  <c r="C4" i="6"/>
  <c r="B34" i="1"/>
  <c r="B27" i="2" s="1"/>
  <c r="B32" i="2" s="1"/>
  <c r="B35" i="2" s="1"/>
  <c r="B36" i="1" s="1"/>
  <c r="B37" i="1" s="1"/>
  <c r="K14" i="6" s="1"/>
  <c r="F5" i="4"/>
  <c r="G5" i="4" s="1"/>
  <c r="G11" i="4" s="1"/>
  <c r="C10" i="6" l="1"/>
  <c r="E10" i="6" s="1"/>
  <c r="C11" i="6"/>
  <c r="E11" i="6" l="1"/>
  <c r="C12" i="6"/>
  <c r="C13" i="6" s="1"/>
  <c r="E12" i="6" l="1"/>
  <c r="E13" i="6" s="1"/>
  <c r="E9" i="6" s="1"/>
  <c r="C19" i="6"/>
  <c r="C9" i="6" l="1"/>
  <c r="E19" i="6"/>
  <c r="F19" i="6" s="1"/>
  <c r="E23" i="6"/>
  <c r="F23" i="6" s="1"/>
  <c r="E20" i="6"/>
  <c r="F20" i="6" s="1"/>
  <c r="E22" i="6"/>
  <c r="F22" i="6" s="1"/>
  <c r="E21" i="6"/>
  <c r="F21" i="6" s="1"/>
  <c r="D19" i="6" l="1"/>
  <c r="B19" i="6" s="1"/>
  <c r="C20" i="6" s="1"/>
  <c r="D20" i="6" s="1"/>
  <c r="B20" i="6" s="1"/>
  <c r="C21" i="6" s="1"/>
  <c r="D21" i="6" s="1"/>
  <c r="B21" i="6" s="1"/>
  <c r="C22" i="6" s="1"/>
  <c r="D22" i="6" s="1"/>
  <c r="B22" i="6" s="1"/>
  <c r="C23" i="6" s="1"/>
  <c r="D23" i="6" s="1"/>
  <c r="B23" i="6" s="1"/>
  <c r="C24" i="6" l="1"/>
  <c r="E24" i="6"/>
  <c r="D24" i="6" l="1"/>
  <c r="B24" i="6" s="1"/>
  <c r="F24" i="6"/>
  <c r="C25" i="6" l="1"/>
  <c r="E25" i="6"/>
  <c r="F25" i="6" l="1"/>
  <c r="D25" i="6"/>
  <c r="B25" i="6" s="1"/>
  <c r="E26" i="6" l="1"/>
  <c r="C26" i="6"/>
  <c r="F26" i="6" l="1"/>
  <c r="D26" i="6"/>
  <c r="B26" i="6" s="1"/>
  <c r="E27" i="6" l="1"/>
  <c r="C27" i="6"/>
  <c r="D27" i="6" l="1"/>
  <c r="B27" i="6" s="1"/>
  <c r="F27" i="6"/>
  <c r="C28" i="6" l="1"/>
  <c r="E28" i="6"/>
  <c r="D28" i="6" l="1"/>
  <c r="B28" i="6" s="1"/>
  <c r="F28" i="6"/>
  <c r="C29" i="6" l="1"/>
  <c r="E29" i="6"/>
  <c r="F29" i="6" l="1"/>
  <c r="D29" i="6"/>
  <c r="B29" i="6" s="1"/>
  <c r="E30" i="6" l="1"/>
  <c r="C30" i="6"/>
  <c r="D30" i="6" l="1"/>
  <c r="B30" i="6" s="1"/>
  <c r="F30" i="6"/>
  <c r="E31" i="6" l="1"/>
  <c r="C31" i="6"/>
  <c r="D31" i="6" l="1"/>
  <c r="B31" i="6" s="1"/>
  <c r="F31" i="6"/>
  <c r="C32" i="6" l="1"/>
  <c r="E32" i="6"/>
  <c r="D32" i="6" l="1"/>
  <c r="B32" i="6" s="1"/>
  <c r="F32" i="6"/>
  <c r="C33" i="6" l="1"/>
  <c r="E33" i="6"/>
  <c r="F33" i="6" l="1"/>
  <c r="D33" i="6"/>
  <c r="B33" i="6" s="1"/>
  <c r="E34" i="6" l="1"/>
  <c r="C34" i="6"/>
  <c r="F34" i="6" l="1"/>
  <c r="D34" i="6"/>
  <c r="B34" i="6" s="1"/>
  <c r="E35" i="6" l="1"/>
  <c r="C35" i="6"/>
  <c r="D35" i="6" l="1"/>
  <c r="B35" i="6" s="1"/>
  <c r="F35" i="6"/>
  <c r="C36" i="6" l="1"/>
  <c r="E36" i="6"/>
  <c r="D36" i="6" l="1"/>
  <c r="B36" i="6" s="1"/>
  <c r="F36" i="6"/>
  <c r="C37" i="6" l="1"/>
  <c r="E37" i="6"/>
  <c r="F37" i="6" l="1"/>
  <c r="D37" i="6"/>
  <c r="B37" i="6" s="1"/>
  <c r="E38" i="6" l="1"/>
  <c r="C38" i="6"/>
  <c r="F38" i="6" l="1"/>
  <c r="D38" i="6"/>
  <c r="B38" i="6" s="1"/>
  <c r="E39" i="6" l="1"/>
  <c r="C39" i="6"/>
  <c r="D39" i="6" l="1"/>
  <c r="B39" i="6" s="1"/>
  <c r="F39" i="6"/>
  <c r="C40" i="6" l="1"/>
  <c r="E40" i="6"/>
  <c r="D40" i="6" l="1"/>
  <c r="B40" i="6" s="1"/>
  <c r="F40" i="6"/>
  <c r="C41" i="6" l="1"/>
  <c r="E41" i="6"/>
  <c r="F41" i="6" l="1"/>
  <c r="D41" i="6"/>
  <c r="B41" i="6" s="1"/>
  <c r="E42" i="6" l="1"/>
  <c r="C42" i="6"/>
  <c r="F42" i="6" l="1"/>
  <c r="D42" i="6"/>
  <c r="B42" i="6" s="1"/>
  <c r="E43" i="6" l="1"/>
  <c r="C43" i="6"/>
  <c r="D43" i="6" l="1"/>
  <c r="B43" i="6" s="1"/>
  <c r="F43" i="6"/>
  <c r="C44" i="6" l="1"/>
  <c r="E44" i="6"/>
  <c r="D44" i="6" l="1"/>
  <c r="B44" i="6" s="1"/>
  <c r="F44" i="6"/>
  <c r="C45" i="6" l="1"/>
  <c r="E45" i="6"/>
  <c r="D45" i="6" l="1"/>
  <c r="B45" i="6" s="1"/>
  <c r="F45" i="6"/>
  <c r="E46" i="6" l="1"/>
  <c r="C46" i="6"/>
  <c r="F46" i="6" l="1"/>
  <c r="D46" i="6"/>
  <c r="B46" i="6" s="1"/>
  <c r="E47" i="6" l="1"/>
  <c r="C47" i="6"/>
  <c r="D47" i="6" l="1"/>
  <c r="B47" i="6" s="1"/>
  <c r="F47" i="6"/>
  <c r="E48" i="6" l="1"/>
  <c r="C48" i="6"/>
  <c r="D48" i="6" l="1"/>
  <c r="B48" i="6" s="1"/>
  <c r="F48" i="6"/>
  <c r="C49" i="6" l="1"/>
  <c r="E49" i="6"/>
  <c r="F49" i="6" l="1"/>
  <c r="D49" i="6"/>
  <c r="B49" i="6" s="1"/>
  <c r="E50" i="6" l="1"/>
  <c r="C50" i="6"/>
  <c r="F50" i="6" l="1"/>
  <c r="D50" i="6"/>
  <c r="B50" i="6" s="1"/>
  <c r="E51" i="6" l="1"/>
  <c r="C51" i="6"/>
  <c r="D51" i="6" l="1"/>
  <c r="B51" i="6" s="1"/>
  <c r="F51" i="6"/>
  <c r="C52" i="6" l="1"/>
  <c r="E52" i="6"/>
  <c r="D52" i="6" l="1"/>
  <c r="B52" i="6" s="1"/>
  <c r="F52" i="6"/>
  <c r="E53" i="6" l="1"/>
  <c r="C53" i="6"/>
  <c r="D53" i="6" l="1"/>
  <c r="B53" i="6" s="1"/>
  <c r="F53" i="6"/>
  <c r="E54" i="6" l="1"/>
  <c r="C54" i="6"/>
  <c r="F54" i="6" l="1"/>
  <c r="D54" i="6"/>
  <c r="B54" i="6" s="1"/>
  <c r="E55" i="6" l="1"/>
  <c r="C55" i="6"/>
  <c r="D55" i="6" l="1"/>
  <c r="B55" i="6" s="1"/>
  <c r="F55" i="6"/>
  <c r="C56" i="6" l="1"/>
  <c r="E56" i="6"/>
  <c r="D56" i="6" l="1"/>
  <c r="B56" i="6" s="1"/>
  <c r="F56" i="6"/>
  <c r="C57" i="6" l="1"/>
  <c r="E57" i="6"/>
  <c r="F57" i="6" l="1"/>
  <c r="D57" i="6"/>
  <c r="B57" i="6" s="1"/>
  <c r="E58" i="6" l="1"/>
  <c r="C58" i="6"/>
  <c r="F58" i="6" l="1"/>
  <c r="D58" i="6"/>
  <c r="B58" i="6" s="1"/>
  <c r="E59" i="6" l="1"/>
  <c r="C59" i="6"/>
  <c r="D59" i="6" l="1"/>
  <c r="B59" i="6" s="1"/>
  <c r="F59" i="6"/>
  <c r="C60" i="6" l="1"/>
  <c r="E60" i="6"/>
  <c r="D60" i="6" l="1"/>
  <c r="B60" i="6" s="1"/>
  <c r="F60" i="6"/>
  <c r="C61" i="6" l="1"/>
  <c r="E61" i="6"/>
  <c r="F61" i="6" l="1"/>
  <c r="D61" i="6"/>
  <c r="B61" i="6" s="1"/>
  <c r="E62" i="6" l="1"/>
  <c r="C62" i="6"/>
  <c r="F62" i="6" l="1"/>
  <c r="D62" i="6"/>
  <c r="B62" i="6" s="1"/>
  <c r="E63" i="6" l="1"/>
  <c r="C63" i="6"/>
  <c r="D63" i="6" l="1"/>
  <c r="B63" i="6" s="1"/>
  <c r="F63" i="6"/>
  <c r="C64" i="6" l="1"/>
  <c r="E64" i="6"/>
  <c r="D64" i="6" l="1"/>
  <c r="B64" i="6" s="1"/>
  <c r="F64" i="6"/>
  <c r="C65" i="6" l="1"/>
  <c r="E65" i="6"/>
  <c r="F65" i="6" l="1"/>
  <c r="D65" i="6"/>
  <c r="B65" i="6" s="1"/>
  <c r="E66" i="6" l="1"/>
  <c r="C66" i="6"/>
  <c r="F66" i="6" l="1"/>
  <c r="D66" i="6"/>
  <c r="B66" i="6" s="1"/>
  <c r="E67" i="6" l="1"/>
  <c r="C67" i="6"/>
  <c r="D67" i="6" l="1"/>
  <c r="B67" i="6" s="1"/>
  <c r="F67" i="6"/>
  <c r="C68" i="6" l="1"/>
  <c r="E68" i="6"/>
  <c r="D68" i="6" l="1"/>
  <c r="B68" i="6" s="1"/>
  <c r="F68" i="6"/>
  <c r="C69" i="6" l="1"/>
  <c r="E69" i="6"/>
  <c r="F69" i="6" l="1"/>
  <c r="D69" i="6"/>
  <c r="B69" i="6" s="1"/>
  <c r="E70" i="6" l="1"/>
  <c r="C70" i="6"/>
  <c r="F70" i="6" l="1"/>
  <c r="D70" i="6"/>
  <c r="B70" i="6" s="1"/>
  <c r="E71" i="6" l="1"/>
  <c r="C71" i="6"/>
  <c r="D71" i="6" l="1"/>
  <c r="B71" i="6" s="1"/>
  <c r="F71" i="6"/>
  <c r="C72" i="6" l="1"/>
  <c r="E72" i="6"/>
  <c r="D72" i="6" l="1"/>
  <c r="B72" i="6" s="1"/>
  <c r="F72" i="6"/>
  <c r="C73" i="6" l="1"/>
  <c r="E73" i="6"/>
  <c r="F73" i="6" l="1"/>
  <c r="D73" i="6"/>
  <c r="B73" i="6" s="1"/>
  <c r="E74" i="6" l="1"/>
  <c r="C74" i="6"/>
  <c r="F74" i="6" l="1"/>
  <c r="D74" i="6"/>
  <c r="B74" i="6" s="1"/>
  <c r="E75" i="6" l="1"/>
  <c r="C75" i="6"/>
  <c r="D75" i="6" l="1"/>
  <c r="B75" i="6" s="1"/>
  <c r="F75" i="6"/>
  <c r="C76" i="6" l="1"/>
  <c r="E76" i="6"/>
  <c r="D76" i="6" l="1"/>
  <c r="B76" i="6" s="1"/>
  <c r="F76" i="6"/>
  <c r="C77" i="6" l="1"/>
  <c r="E77" i="6"/>
  <c r="F77" i="6" l="1"/>
  <c r="D77" i="6"/>
  <c r="B77" i="6" s="1"/>
  <c r="E78" i="6" l="1"/>
  <c r="C78" i="6"/>
  <c r="F78" i="6" l="1"/>
  <c r="E14" i="6" s="1"/>
  <c r="C14" i="6" s="1"/>
  <c r="D78" i="6"/>
  <c r="B78" i="6" s="1"/>
</calcChain>
</file>

<file path=xl/sharedStrings.xml><?xml version="1.0" encoding="utf-8"?>
<sst xmlns="http://schemas.openxmlformats.org/spreadsheetml/2006/main" count="259" uniqueCount="207">
  <si>
    <t>Oplysninger om ejendommen</t>
  </si>
  <si>
    <t>Nuværende varmeudgift</t>
  </si>
  <si>
    <t>Nuværende forbrug</t>
  </si>
  <si>
    <t>Længde af ny stikledning fra skel til hovedhaner (meter)</t>
  </si>
  <si>
    <t>Byggemodningsbidrag (Kr. inkl. moms)</t>
  </si>
  <si>
    <t>Stikledningsbidrag (Kr. inkl. moms)</t>
  </si>
  <si>
    <t>Afslutning af stik (Kr. inkl. moms)</t>
  </si>
  <si>
    <t>Eget VVS arbejde (Kr. inkl. moms)</t>
  </si>
  <si>
    <t>Oliepris (Kr./liter inkl. moms)</t>
  </si>
  <si>
    <t>Elpris (Kr./kWh inkl. moms)</t>
  </si>
  <si>
    <t>Elpris - el til opvarmning (Kr./kWh inkl. moms)</t>
  </si>
  <si>
    <t>Energipriser</t>
  </si>
  <si>
    <t>Service af kedel/fyr/skorsten</t>
  </si>
  <si>
    <t>El til fyr/cirkulationspumpe</t>
  </si>
  <si>
    <t>Afskrivning af fyr</t>
  </si>
  <si>
    <t>Køb af brændsel</t>
  </si>
  <si>
    <t>Årligt abonnement/målergebyr</t>
  </si>
  <si>
    <t>Køb af el til fyr/cirkulationspumpe</t>
  </si>
  <si>
    <t>Varmeudgift fjernvarme</t>
  </si>
  <si>
    <t>Årlig varmeudgift, nuværende i alt (Kr. inkl. moms)</t>
  </si>
  <si>
    <t>Årlig varmeudgift, fjernvarme i alt (Kr. inkl. moms)</t>
  </si>
  <si>
    <t>Årlig besparelse ved konvertering til fjernvarme (Kr. inkl. moms)</t>
  </si>
  <si>
    <t>Simpel tilbagebetalingstid (år)</t>
  </si>
  <si>
    <t>Målerbidrag, Fjernvarme Fyn (Kr. inkl. moms)</t>
  </si>
  <si>
    <t>Naturgas</t>
  </si>
  <si>
    <t>Olie</t>
  </si>
  <si>
    <t>El</t>
  </si>
  <si>
    <t>Ja</t>
  </si>
  <si>
    <t>Opvarmning</t>
  </si>
  <si>
    <t>Kondenserende</t>
  </si>
  <si>
    <t>Cirkulationapumpe</t>
  </si>
  <si>
    <t>Nej</t>
  </si>
  <si>
    <t>kr.</t>
  </si>
  <si>
    <t>energi</t>
  </si>
  <si>
    <t>Energiomregning</t>
  </si>
  <si>
    <t>Opvarmet kælderareal</t>
  </si>
  <si>
    <t>Gas</t>
  </si>
  <si>
    <t>energi/enhed</t>
  </si>
  <si>
    <t>GJ</t>
  </si>
  <si>
    <t>kWh/år</t>
  </si>
  <si>
    <t>%</t>
  </si>
  <si>
    <t xml:space="preserve">Årsvirkningsgrad for kedel/fyr: </t>
  </si>
  <si>
    <t>Årgang af oliekedel/fyr:</t>
  </si>
  <si>
    <t>Nuværende forbrug indtastes i:</t>
  </si>
  <si>
    <t xml:space="preserve">Nuværende forbrug: </t>
  </si>
  <si>
    <t>Investering i eget varmeanlæg</t>
  </si>
  <si>
    <t>Vejledning:</t>
  </si>
  <si>
    <t>Alle grå felter skal udfyldes, og der skal tages stilling til alle rullemenuerne.</t>
  </si>
  <si>
    <r>
      <t>m</t>
    </r>
    <r>
      <rPr>
        <vertAlign val="superscript"/>
        <sz val="11"/>
        <color indexed="8"/>
        <rFont val="Calibri"/>
        <family val="2"/>
      </rPr>
      <t>2</t>
    </r>
  </si>
  <si>
    <t xml:space="preserve">Cirkulationspumpe er A-mærket model </t>
  </si>
  <si>
    <t>Beregningen er en teoretisk overslagsberegning, og må derfor kun anses som</t>
  </si>
  <si>
    <t xml:space="preserve">retningsgivende. </t>
  </si>
  <si>
    <t>Forudsætninger for beregning:</t>
  </si>
  <si>
    <t>Energibidrag [kr./år]</t>
  </si>
  <si>
    <t>Service af fjernvarmeinstallation [kr./år]</t>
  </si>
  <si>
    <t>Målerbidrag [kr./år]</t>
  </si>
  <si>
    <t>Årlig besparelse ved fjernvarme</t>
  </si>
  <si>
    <t>kr./år</t>
  </si>
  <si>
    <t>Indtastet energi</t>
  </si>
  <si>
    <t>indtastet i kr.</t>
  </si>
  <si>
    <t>m</t>
  </si>
  <si>
    <t>Transportbidrag [kr./år]*</t>
  </si>
  <si>
    <t>og ved dårligere afkøling vil det blive større.</t>
  </si>
  <si>
    <r>
      <t xml:space="preserve">* Der er forudsat en gennemsnitlige afkøling på 35 </t>
    </r>
    <r>
      <rPr>
        <i/>
        <sz val="11"/>
        <color indexed="8"/>
        <rFont val="Calibri"/>
        <family val="2"/>
      </rPr>
      <t>°C, ved bedre afkøling vil bidraget blive mindre,</t>
    </r>
  </si>
  <si>
    <t>Investeringsbidrag (Kr. inkl. moms)</t>
  </si>
  <si>
    <t>Fjernvarme Fyn A/S kan ikke stilles til ansvar for beregningen.</t>
  </si>
  <si>
    <r>
      <t>Ejendommens opvarmede areal m</t>
    </r>
    <r>
      <rPr>
        <vertAlign val="superscript"/>
        <sz val="11"/>
        <color indexed="8"/>
        <rFont val="Calibri"/>
        <family val="2"/>
      </rPr>
      <t>2</t>
    </r>
  </si>
  <si>
    <t>Energiomkostninger</t>
  </si>
  <si>
    <t>Indtastet i energi</t>
  </si>
  <si>
    <t>Indtastet i kr.</t>
  </si>
  <si>
    <t xml:space="preserve">Ejendommens adresse: </t>
  </si>
  <si>
    <t xml:space="preserve">Forventet fremtidigt forbrug: </t>
  </si>
  <si>
    <t>Beregnet nettovarmebehov</t>
  </si>
  <si>
    <r>
      <t xml:space="preserve">Forventet varmemængde ved 35 </t>
    </r>
    <r>
      <rPr>
        <sz val="11"/>
        <color theme="1"/>
        <rFont val="Calibri"/>
        <family val="2"/>
      </rPr>
      <t>°C afkøling</t>
    </r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</si>
  <si>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</si>
  <si>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Effektbidrag [kr./år]</t>
  </si>
  <si>
    <r>
      <t>Fjernvarme transportbidrag (Kr./m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inkl. moms)</t>
    </r>
  </si>
  <si>
    <t>Kvaliteten af inddata samt klimaet kan påvirke beregningerne.</t>
  </si>
  <si>
    <t>Kom på fjernvarmen for:</t>
  </si>
  <si>
    <t>Opnå rabat nu:</t>
  </si>
  <si>
    <t>I alt:</t>
  </si>
  <si>
    <t>Etableringsomkostninger:</t>
  </si>
  <si>
    <t>Betaling for afbrydelse af naturgas eller olietank (Kr. inkl. moms)</t>
  </si>
  <si>
    <t xml:space="preserve">Kondenserende kedel (kun naturgas): </t>
  </si>
  <si>
    <r>
      <t>Effektbidrag (kr./m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(kælder tæller 25% af bolig)</t>
    </r>
  </si>
  <si>
    <t>Samlet betaling til Fjernvarme Fyn A/S</t>
  </si>
  <si>
    <t>Eget arbejde</t>
  </si>
  <si>
    <t>Samlet pris til fjernvarme fyn inkl rabat:</t>
  </si>
  <si>
    <t>Eget VVS arbejde:</t>
  </si>
  <si>
    <t>Tank eller Gas afrydelse</t>
  </si>
  <si>
    <t>Sum</t>
  </si>
  <si>
    <t>Udtræksark i forbindelse kundebesøg</t>
  </si>
  <si>
    <t>Etablering af fjernvarme</t>
  </si>
  <si>
    <t>Måler- og administrationsgebyr, naturgas(Kr. inkl. moms)</t>
  </si>
  <si>
    <t>Rabat ved tilslutning i opstartsperioden*</t>
  </si>
  <si>
    <t xml:space="preserve">Fjernvarme energibidrag (Kr./GJ inkl. moms) </t>
  </si>
  <si>
    <t>Piller</t>
  </si>
  <si>
    <t>Træpillepris (kr./kg inkl moms)</t>
  </si>
  <si>
    <t>Eget anlæg</t>
  </si>
  <si>
    <t>Direkte</t>
  </si>
  <si>
    <t>Indirekte</t>
  </si>
  <si>
    <t>Egen indtastning</t>
  </si>
  <si>
    <t>El til cirkulationspumpe [kr./år]</t>
  </si>
  <si>
    <t>Egen indtastning (kun hvis egen indtastning er valgt)</t>
  </si>
  <si>
    <t>Tilslutning, direkte/indirekte?*</t>
  </si>
  <si>
    <t>* Spørg Fjernvarme Fyn om du skal tilsluttes direkte eller indirekte</t>
  </si>
  <si>
    <t>Nuværende varmeinstallation:</t>
  </si>
  <si>
    <t>Nuværende opvarmningsform:</t>
  </si>
  <si>
    <t>Eget anlæg:</t>
  </si>
  <si>
    <t>Alt inkl. kom i gang for</t>
  </si>
  <si>
    <t>Udregning af besparelse ved omlægning til fjernvarme</t>
  </si>
  <si>
    <t>Forventet varmebehov</t>
  </si>
  <si>
    <r>
      <t>Naturgaspris (Kr./m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inkl. moms), gennemsnit</t>
    </r>
  </si>
  <si>
    <t>Etablering af fjernvarme - Blindstik</t>
  </si>
  <si>
    <t>Vær klar til fjernvarme for:</t>
  </si>
  <si>
    <t>Betal nu:</t>
  </si>
  <si>
    <t>Betal ved tilslutning (inden for 5 år):</t>
  </si>
  <si>
    <t>Det er ikke muligt at finansiere "blindstik" via Fjernvarme Fyn</t>
  </si>
  <si>
    <t>Blindstikket kan ligge i op til 5 år inden den endelige tilslutning skal være foretaget. Der betales et årligt gebyr på 300 kr. Hvis stikket ikke er taget i brug indenfor 5 år afproppes dette og der er ingen tilbagebetaling af allerede indbetalte beløb.</t>
  </si>
  <si>
    <t xml:space="preserve">Finansieringsforslag </t>
  </si>
  <si>
    <t>Finansiering forudsætter posetiv kreditvurdering</t>
  </si>
  <si>
    <t>Se låneordning vilkår for yderligere oplysninger</t>
  </si>
  <si>
    <t>Egenbetaling</t>
  </si>
  <si>
    <t>Beløb til finansiering</t>
  </si>
  <si>
    <t>Årlig</t>
  </si>
  <si>
    <t>Kvartal</t>
  </si>
  <si>
    <t>Ydelse</t>
  </si>
  <si>
    <t>Løbetid n</t>
  </si>
  <si>
    <t>år</t>
  </si>
  <si>
    <t>kvartaler</t>
  </si>
  <si>
    <t>Rente</t>
  </si>
  <si>
    <t>alpha hage</t>
  </si>
  <si>
    <t>1/alphahage</t>
  </si>
  <si>
    <t>ÅOP</t>
  </si>
  <si>
    <t>kvartal</t>
  </si>
  <si>
    <t>Restgæld</t>
  </si>
  <si>
    <t>Renter</t>
  </si>
  <si>
    <t>Afdrag</t>
  </si>
  <si>
    <t>Betalingsrække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</si>
  <si>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</si>
  <si>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</si>
  <si>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</si>
  <si>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</si>
  <si>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</si>
  <si>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</si>
  <si>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</si>
  <si>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</si>
  <si>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</si>
  <si>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</si>
  <si>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</si>
  <si>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</si>
  <si>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</si>
  <si>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</si>
  <si>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</si>
  <si>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</si>
  <si>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</si>
  <si>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</si>
  <si>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</si>
  <si>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</si>
  <si>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</si>
  <si>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</si>
  <si>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</si>
  <si>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</si>
  <si>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</si>
  <si>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</si>
  <si>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</si>
  <si>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</si>
  <si>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</si>
  <si>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</si>
  <si>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</si>
  <si>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</si>
  <si>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</si>
  <si>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</si>
  <si>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</si>
  <si>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</si>
  <si>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</si>
  <si>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</si>
  <si>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</si>
  <si>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</si>
  <si>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</si>
  <si>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</si>
  <si>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</si>
  <si>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</si>
  <si>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</si>
  <si>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</si>
  <si>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</si>
  <si>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</si>
  <si>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</si>
  <si>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</si>
  <si>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</si>
  <si>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</si>
  <si>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</si>
  <si>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</si>
  <si>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</si>
  <si>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</si>
  <si>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</si>
  <si>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</si>
  <si>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</si>
  <si>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</si>
  <si>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</si>
  <si>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Rente:</t>
  </si>
  <si>
    <t>Løbetid:</t>
  </si>
  <si>
    <t>revision: 19/08-2020</t>
  </si>
  <si>
    <t>Gælder kun nye fjernvarme kunder i projektet Skallebølle</t>
  </si>
  <si>
    <t>Beregningen gælder kun for området nye kunder i projektet Skallebølle</t>
  </si>
  <si>
    <t>Gælder kun for nye fjernvarmekunder i Skallebølle</t>
  </si>
  <si>
    <t>* Gælder kun området Skallebølle i opstartsperioden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</si>
</sst>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r.&quot;\ #,##0;[Red]&quot;kr.&quot;\ \-#,##0"/>
    <numFmt numFmtId="165" formatCode="&quot;kr.&quot;\ #,##0.00;[Red]&quot;kr.&quot;\ \-#,##0.00"/>
    <numFmt numFmtId="166" formatCode="_ * #,##0.00_ ;_ * \-#,##0.00_ ;_ * &quot;-&quot;??_ ;_ @_ "/>
    <numFmt numFmtId="167" formatCode="0.0"/>
    <numFmt numFmtId="168" formatCode="0_)"/>
    <numFmt numFmtId="169" formatCode="#,##0.0"/>
  </numFmts>
  <fonts count="15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000000"/>
      <name val="Tahoma"/>
      <family val="2"/>
    </font>
    <font>
      <b/>
      <sz val="16"/>
      <color theme="1"/>
      <name val="Calibri"/>
      <family val="2"/>
      <scheme val="minor"/>
    </font>
    <font>
      <u/>
      <sz val="10"/>
      <name val="Courier"/>
      <family val="3"/>
    </font>
    <font>
      <b/>
      <sz val="11"/>
      <color rgb="FFFF99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/>
    <xf numFmtId="165" fontId="0" fillId="0" borderId="0" xfId="0" applyNumberFormat="1"/>
    <xf numFmtId="164" fontId="0" fillId="0" borderId="0" xfId="0" applyNumberFormat="1"/>
    <xf numFmtId="164" fontId="3" fillId="0" borderId="0" xfId="0" applyNumberFormat="1" applyFont="1"/>
    <xf numFmtId="0" fontId="0" fillId="2" borderId="0" xfId="0" applyFill="1"/>
    <xf numFmtId="0" fontId="3" fillId="2" borderId="0" xfId="0" applyFont="1" applyFill="1"/>
    <xf numFmtId="167" fontId="0" fillId="2" borderId="0" xfId="0" applyNumberFormat="1" applyFill="1"/>
    <xf numFmtId="164" fontId="0" fillId="2" borderId="0" xfId="0" applyNumberFormat="1" applyFill="1"/>
    <xf numFmtId="164" fontId="3" fillId="2" borderId="0" xfId="0" applyNumberFormat="1" applyFont="1" applyFill="1"/>
    <xf numFmtId="0" fontId="0" fillId="2" borderId="1" xfId="0" applyFill="1" applyBorder="1"/>
    <xf numFmtId="0" fontId="3" fillId="2" borderId="2" xfId="0" applyFont="1" applyFill="1" applyBorder="1"/>
    <xf numFmtId="3" fontId="3" fillId="2" borderId="3" xfId="0" applyNumberFormat="1" applyFont="1" applyFill="1" applyBorder="1"/>
    <xf numFmtId="0" fontId="0" fillId="2" borderId="4" xfId="0" applyFill="1" applyBorder="1"/>
    <xf numFmtId="0" fontId="3" fillId="2" borderId="5" xfId="0" applyFont="1" applyFill="1" applyBorder="1"/>
    <xf numFmtId="167" fontId="3" fillId="2" borderId="1" xfId="0" applyNumberFormat="1" applyFont="1" applyFill="1" applyBorder="1"/>
    <xf numFmtId="0" fontId="0" fillId="2" borderId="6" xfId="0" applyFill="1" applyBorder="1"/>
    <xf numFmtId="0" fontId="4" fillId="2" borderId="0" xfId="0" applyFont="1" applyFill="1"/>
    <xf numFmtId="0" fontId="5" fillId="2" borderId="0" xfId="0" applyFont="1" applyFill="1"/>
    <xf numFmtId="0" fontId="0" fillId="2" borderId="0" xfId="0" applyFont="1" applyFill="1"/>
    <xf numFmtId="0" fontId="0" fillId="0" borderId="0" xfId="0" applyFill="1"/>
    <xf numFmtId="0" fontId="0" fillId="0" borderId="7" xfId="0" applyBorder="1"/>
    <xf numFmtId="2" fontId="0" fillId="0" borderId="7" xfId="0" applyNumberFormat="1" applyFill="1" applyBorder="1"/>
    <xf numFmtId="0" fontId="0" fillId="0" borderId="7" xfId="0" applyFill="1" applyBorder="1"/>
    <xf numFmtId="1" fontId="0" fillId="0" borderId="7" xfId="0" applyNumberFormat="1" applyFill="1" applyBorder="1"/>
    <xf numFmtId="3" fontId="0" fillId="0" borderId="7" xfId="0" applyNumberFormat="1" applyFill="1" applyBorder="1"/>
    <xf numFmtId="3" fontId="0" fillId="0" borderId="7" xfId="0" applyNumberFormat="1" applyBorder="1"/>
    <xf numFmtId="0" fontId="6" fillId="0" borderId="0" xfId="0" applyFont="1"/>
    <xf numFmtId="0" fontId="0" fillId="0" borderId="8" xfId="0" applyBorder="1"/>
    <xf numFmtId="3" fontId="0" fillId="0" borderId="9" xfId="0" applyNumberFormat="1" applyBorder="1"/>
    <xf numFmtId="0" fontId="0" fillId="0" borderId="10" xfId="0" applyBorder="1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3" fontId="0" fillId="3" borderId="0" xfId="0" applyNumberFormat="1" applyFill="1" applyProtection="1">
      <protection locked="0"/>
    </xf>
    <xf numFmtId="0" fontId="3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7" fillId="0" borderId="0" xfId="0" applyFont="1"/>
    <xf numFmtId="167" fontId="3" fillId="2" borderId="0" xfId="0" applyNumberFormat="1" applyFont="1" applyFill="1" applyBorder="1"/>
    <xf numFmtId="0" fontId="0" fillId="2" borderId="0" xfId="0" applyFill="1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4" xfId="0" applyBorder="1"/>
    <xf numFmtId="0" fontId="0" fillId="0" borderId="15" xfId="0" applyFill="1" applyBorder="1"/>
    <xf numFmtId="0" fontId="0" fillId="0" borderId="16" xfId="0" applyBorder="1"/>
    <xf numFmtId="0" fontId="0" fillId="0" borderId="18" xfId="0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13" xfId="0" applyFill="1" applyBorder="1"/>
    <xf numFmtId="3" fontId="0" fillId="0" borderId="15" xfId="0" applyNumberFormat="1" applyFill="1" applyBorder="1"/>
    <xf numFmtId="0" fontId="3" fillId="0" borderId="17" xfId="0" applyFont="1" applyBorder="1"/>
    <xf numFmtId="3" fontId="3" fillId="0" borderId="18" xfId="0" applyNumberFormat="1" applyFont="1" applyBorder="1"/>
    <xf numFmtId="3" fontId="3" fillId="0" borderId="19" xfId="0" applyNumberFormat="1" applyFont="1" applyBorder="1"/>
    <xf numFmtId="0" fontId="0" fillId="0" borderId="19" xfId="0" applyBorder="1"/>
    <xf numFmtId="3" fontId="0" fillId="0" borderId="0" xfId="0" applyNumberFormat="1" applyFill="1" applyBorder="1"/>
    <xf numFmtId="1" fontId="0" fillId="2" borderId="0" xfId="0" applyNumberFormat="1" applyFill="1"/>
    <xf numFmtId="0" fontId="0" fillId="0" borderId="20" xfId="0" applyBorder="1"/>
    <xf numFmtId="0" fontId="0" fillId="0" borderId="21" xfId="0" applyFill="1" applyBorder="1"/>
    <xf numFmtId="0" fontId="0" fillId="0" borderId="22" xfId="0" applyFill="1" applyBorder="1"/>
    <xf numFmtId="0" fontId="0" fillId="0" borderId="17" xfId="0" applyFill="1" applyBorder="1"/>
    <xf numFmtId="0" fontId="0" fillId="0" borderId="0" xfId="0" applyBorder="1"/>
    <xf numFmtId="3" fontId="0" fillId="0" borderId="0" xfId="0" applyNumberFormat="1" applyBorder="1"/>
    <xf numFmtId="0" fontId="10" fillId="0" borderId="0" xfId="0" applyFont="1" applyFill="1" applyBorder="1"/>
    <xf numFmtId="3" fontId="0" fillId="0" borderId="23" xfId="0" applyNumberFormat="1" applyBorder="1"/>
    <xf numFmtId="0" fontId="0" fillId="0" borderId="27" xfId="0" applyBorder="1"/>
    <xf numFmtId="0" fontId="0" fillId="0" borderId="28" xfId="0" applyBorder="1"/>
    <xf numFmtId="0" fontId="3" fillId="0" borderId="29" xfId="0" applyFont="1" applyBorder="1"/>
    <xf numFmtId="3" fontId="3" fillId="0" borderId="30" xfId="0" applyNumberFormat="1" applyFont="1" applyBorder="1"/>
    <xf numFmtId="0" fontId="0" fillId="0" borderId="31" xfId="0" applyBorder="1"/>
    <xf numFmtId="0" fontId="0" fillId="0" borderId="26" xfId="0" applyBorder="1"/>
    <xf numFmtId="0" fontId="0" fillId="0" borderId="24" xfId="0" applyBorder="1"/>
    <xf numFmtId="0" fontId="0" fillId="0" borderId="29" xfId="0" applyFill="1" applyBorder="1"/>
    <xf numFmtId="3" fontId="0" fillId="0" borderId="30" xfId="0" applyNumberFormat="1" applyFill="1" applyBorder="1"/>
    <xf numFmtId="0" fontId="6" fillId="0" borderId="10" xfId="0" applyFont="1" applyBorder="1"/>
    <xf numFmtId="3" fontId="0" fillId="0" borderId="25" xfId="0" applyNumberFormat="1" applyBorder="1"/>
    <xf numFmtId="0" fontId="3" fillId="0" borderId="11" xfId="0" applyFont="1" applyBorder="1"/>
    <xf numFmtId="0" fontId="0" fillId="0" borderId="0" xfId="0" applyFill="1" applyBorder="1"/>
    <xf numFmtId="0" fontId="3" fillId="0" borderId="0" xfId="0" applyFont="1" applyBorder="1"/>
    <xf numFmtId="3" fontId="3" fillId="0" borderId="0" xfId="0" applyNumberFormat="1" applyFont="1" applyBorder="1"/>
    <xf numFmtId="0" fontId="6" fillId="0" borderId="0" xfId="0" applyFont="1" applyBorder="1"/>
    <xf numFmtId="0" fontId="0" fillId="0" borderId="24" xfId="0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3" fontId="6" fillId="0" borderId="9" xfId="0" applyNumberFormat="1" applyFont="1" applyBorder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0" fontId="0" fillId="0" borderId="32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/>
    <xf numFmtId="0" fontId="0" fillId="0" borderId="6" xfId="0" applyBorder="1"/>
    <xf numFmtId="0" fontId="0" fillId="0" borderId="0" xfId="0" applyBorder="1" applyAlignment="1"/>
    <xf numFmtId="3" fontId="0" fillId="0" borderId="23" xfId="0" applyNumberFormat="1" applyFill="1" applyBorder="1"/>
    <xf numFmtId="0" fontId="0" fillId="0" borderId="29" xfId="0" applyBorder="1"/>
    <xf numFmtId="3" fontId="0" fillId="0" borderId="30" xfId="0" applyNumberFormat="1" applyBorder="1"/>
    <xf numFmtId="0" fontId="3" fillId="0" borderId="33" xfId="0" applyFont="1" applyBorder="1"/>
    <xf numFmtId="3" fontId="3" fillId="0" borderId="33" xfId="0" applyNumberFormat="1" applyFont="1" applyBorder="1"/>
    <xf numFmtId="0" fontId="0" fillId="0" borderId="0" xfId="0" applyBorder="1" applyAlignment="1"/>
    <xf numFmtId="167" fontId="0" fillId="0" borderId="7" xfId="0" applyNumberFormat="1" applyFill="1" applyBorder="1"/>
    <xf numFmtId="3" fontId="0" fillId="0" borderId="0" xfId="0" applyNumberFormat="1" applyFill="1" applyProtection="1"/>
    <xf numFmtId="0" fontId="0" fillId="0" borderId="22" xfId="0" applyBorder="1"/>
    <xf numFmtId="0" fontId="7" fillId="2" borderId="0" xfId="0" applyFont="1" applyFill="1" applyBorder="1"/>
    <xf numFmtId="3" fontId="0" fillId="0" borderId="21" xfId="0" applyNumberFormat="1" applyBorder="1" applyAlignment="1">
      <alignment horizontal="right"/>
    </xf>
    <xf numFmtId="0" fontId="12" fillId="0" borderId="8" xfId="0" applyFont="1" applyFill="1" applyBorder="1"/>
    <xf numFmtId="3" fontId="12" fillId="0" borderId="9" xfId="0" applyNumberFormat="1" applyFont="1" applyFill="1" applyBorder="1"/>
    <xf numFmtId="0" fontId="12" fillId="0" borderId="10" xfId="0" applyFont="1" applyFill="1" applyBorder="1"/>
    <xf numFmtId="0" fontId="7" fillId="0" borderId="8" xfId="0" applyFont="1" applyFill="1" applyBorder="1"/>
    <xf numFmtId="3" fontId="7" fillId="0" borderId="9" xfId="0" applyNumberFormat="1" applyFont="1" applyFill="1" applyBorder="1"/>
    <xf numFmtId="0" fontId="7" fillId="0" borderId="10" xfId="0" applyFont="1" applyBorder="1"/>
    <xf numFmtId="0" fontId="3" fillId="0" borderId="31" xfId="0" applyFont="1" applyBorder="1"/>
    <xf numFmtId="0" fontId="3" fillId="0" borderId="29" xfId="0" applyFont="1" applyFill="1" applyBorder="1"/>
    <xf numFmtId="3" fontId="3" fillId="0" borderId="30" xfId="0" applyNumberFormat="1" applyFont="1" applyFill="1" applyBorder="1"/>
    <xf numFmtId="0" fontId="3" fillId="0" borderId="0" xfId="0" applyFont="1" applyFill="1" applyBorder="1"/>
    <xf numFmtId="3" fontId="0" fillId="0" borderId="0" xfId="0" applyNumberFormat="1"/>
    <xf numFmtId="0" fontId="3" fillId="3" borderId="2" xfId="0" applyFont="1" applyFill="1" applyBorder="1"/>
    <xf numFmtId="0" fontId="3" fillId="3" borderId="3" xfId="0" applyFont="1" applyFill="1" applyBorder="1"/>
    <xf numFmtId="4" fontId="3" fillId="3" borderId="3" xfId="0" applyNumberFormat="1" applyFont="1" applyFill="1" applyBorder="1"/>
    <xf numFmtId="0" fontId="3" fillId="3" borderId="4" xfId="0" applyFont="1" applyFill="1" applyBorder="1"/>
    <xf numFmtId="0" fontId="0" fillId="3" borderId="32" xfId="0" applyFill="1" applyBorder="1"/>
    <xf numFmtId="0" fontId="0" fillId="3" borderId="0" xfId="0" applyFill="1" applyBorder="1"/>
    <xf numFmtId="4" fontId="0" fillId="3" borderId="0" xfId="0" applyNumberFormat="1" applyFill="1" applyBorder="1"/>
    <xf numFmtId="0" fontId="0" fillId="3" borderId="16" xfId="0" applyFill="1" applyBorder="1"/>
    <xf numFmtId="0" fontId="3" fillId="3" borderId="5" xfId="0" applyFont="1" applyFill="1" applyBorder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3" borderId="6" xfId="0" applyFont="1" applyFill="1" applyBorder="1"/>
    <xf numFmtId="0" fontId="0" fillId="0" borderId="11" xfId="0" applyBorder="1"/>
    <xf numFmtId="4" fontId="0" fillId="0" borderId="32" xfId="0" applyNumberFormat="1" applyBorder="1"/>
    <xf numFmtId="2" fontId="0" fillId="0" borderId="16" xfId="0" applyNumberFormat="1" applyBorder="1"/>
    <xf numFmtId="10" fontId="0" fillId="0" borderId="32" xfId="0" applyNumberFormat="1" applyBorder="1"/>
    <xf numFmtId="2" fontId="0" fillId="0" borderId="32" xfId="0" applyNumberFormat="1" applyBorder="1"/>
    <xf numFmtId="0" fontId="0" fillId="0" borderId="17" xfId="0" applyBorder="1"/>
    <xf numFmtId="10" fontId="0" fillId="0" borderId="5" xfId="0" applyNumberFormat="1" applyBorder="1"/>
    <xf numFmtId="166" fontId="0" fillId="0" borderId="13" xfId="0" applyNumberFormat="1" applyBorder="1"/>
    <xf numFmtId="166" fontId="0" fillId="0" borderId="7" xfId="0" applyNumberFormat="1" applyBorder="1"/>
    <xf numFmtId="166" fontId="0" fillId="0" borderId="15" xfId="0" applyNumberFormat="1" applyBorder="1"/>
    <xf numFmtId="166" fontId="0" fillId="0" borderId="18" xfId="0" applyNumberFormat="1" applyBorder="1"/>
    <xf numFmtId="166" fontId="0" fillId="0" borderId="19" xfId="0" applyNumberFormat="1" applyBorder="1"/>
    <xf numFmtId="168" fontId="13" fillId="0" borderId="0" xfId="0" applyNumberFormat="1" applyFont="1" applyAlignment="1" applyProtection="1">
      <alignment horizontal="center"/>
    </xf>
    <xf numFmtId="0" fontId="13" fillId="0" borderId="0" xfId="0" applyFont="1" applyAlignment="1">
      <alignment horizontal="center"/>
    </xf>
    <xf numFmtId="169" fontId="0" fillId="0" borderId="0" xfId="0" applyNumberFormat="1" applyAlignment="1" applyProtection="1">
      <alignment horizontal="center"/>
    </xf>
    <xf numFmtId="168" fontId="0" fillId="0" borderId="0" xfId="0" applyNumberFormat="1" applyAlignment="1" applyProtection="1">
      <alignment horizontal="center"/>
    </xf>
    <xf numFmtId="0" fontId="14" fillId="2" borderId="0" xfId="0" applyFont="1" applyFill="1"/>
    <xf numFmtId="0" fontId="14" fillId="0" borderId="14" xfId="0" applyFont="1" applyBorder="1"/>
    <xf numFmtId="0" fontId="14" fillId="0" borderId="11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0" borderId="0" xfId="0" applyFont="1" applyBorder="1" applyAlignment="1">
      <alignment wrapText="1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Style="combo" dx="15" fmlaLink="$Q$21" fmlaRange="$P$20:$P$23" noThreeD="1" sel="1" val="0"/>
</file>

<file path=xl/ctrlProps/ctrlProp2.xml><?xml version="1.0" encoding="utf-8"?>
<formControlPr xmlns="http://schemas.microsoft.com/office/spreadsheetml/2009/9/main" objectType="Drop" dropStyle="combo" dx="15" fmlaLink="$Q$32" fmlaRange="$P$31:$P$32" noThreeD="1" sel="2" val="0"/>
</file>

<file path=xl/ctrlProps/ctrlProp3.xml><?xml version="1.0" encoding="utf-8"?>
<formControlPr xmlns="http://schemas.microsoft.com/office/spreadsheetml/2009/9/main" objectType="Drop" dropStyle="combo" dx="15" fmlaLink="$Q$26" fmlaRange="$P$25:$P$26" noThreeD="1" sel="1" val="0"/>
</file>

<file path=xl/ctrlProps/ctrlProp4.xml><?xml version="1.0" encoding="utf-8"?>
<formControlPr xmlns="http://schemas.microsoft.com/office/spreadsheetml/2009/9/main" objectType="Drop" dropStyle="combo" dx="15" fmlaLink="$Q$29" fmlaRange="$P$28:$P$29" noThreeD="1" sel="1" val="0"/>
</file>

<file path=xl/ctrlProps/ctrlProp5.xml><?xml version="1.0" encoding="utf-8"?>
<formControlPr xmlns="http://schemas.microsoft.com/office/spreadsheetml/2009/9/main" objectType="Drop" dropStyle="combo" dx="15" fmlaLink="$Q$35" fmlaRange="$P$34:$P$36" noThreeD="1" sel="3" val="0"/>
</file>

<file path=xl/ctrlProps/ctrlProp6.xml><?xml version="1.0" encoding="utf-8"?>
<formControlPr xmlns="http://schemas.microsoft.com/office/spreadsheetml/2009/9/main" objectType="CheckBox" checked="Checked" fmlaLink="$J$5" lockText="1" noThreeD="1"/>
</file>

<file path=xl/ctrlProps/ctrlProp7.xml><?xml version="1.0" encoding="utf-8"?>
<formControlPr xmlns="http://schemas.microsoft.com/office/spreadsheetml/2009/9/main" objectType="CheckBox" checked="Checked" fmlaLink="$J$7" lockText="1" noThreeD="1"/>
</file>

<file path=xl/ctrlProps/ctrlProp8.xml><?xml version="1.0" encoding="utf-8"?>
<formControlPr xmlns="http://schemas.microsoft.com/office/spreadsheetml/2009/9/main" objectType="CheckBox" checked="Checked" fmlaLink="$J$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12</xdr:row>
          <xdr:rowOff>0</xdr:rowOff>
        </xdr:from>
        <xdr:to>
          <xdr:col>1</xdr:col>
          <xdr:colOff>0</xdr:colOff>
          <xdr:row>13</xdr:row>
          <xdr:rowOff>9525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26</xdr:row>
          <xdr:rowOff>0</xdr:rowOff>
        </xdr:from>
        <xdr:to>
          <xdr:col>1</xdr:col>
          <xdr:colOff>0</xdr:colOff>
          <xdr:row>27</xdr:row>
          <xdr:rowOff>9525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15</xdr:row>
          <xdr:rowOff>180975</xdr:rowOff>
        </xdr:from>
        <xdr:to>
          <xdr:col>1</xdr:col>
          <xdr:colOff>0</xdr:colOff>
          <xdr:row>17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2724150</xdr:colOff>
          <xdr:row>17</xdr:row>
          <xdr:rowOff>180975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2743200</xdr:colOff>
          <xdr:row>20</xdr:row>
          <xdr:rowOff>161925</xdr:rowOff>
        </xdr:from>
        <xdr:to>
          <xdr:col>1</xdr:col>
          <xdr:colOff>19050</xdr:colOff>
          <xdr:row>21</xdr:row>
          <xdr:rowOff>171450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35080</xdr:colOff>
      <xdr:row>0</xdr:row>
      <xdr:rowOff>0</xdr:rowOff>
    </xdr:from>
    <xdr:to>
      <xdr:col>0</xdr:col>
      <xdr:colOff>1533526</xdr:colOff>
      <xdr:row>3</xdr:row>
      <xdr:rowOff>42863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80" y="0"/>
          <a:ext cx="1498446" cy="614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161925</xdr:rowOff>
        </xdr:from>
        <xdr:to>
          <xdr:col>4</xdr:col>
          <xdr:colOff>323850</xdr:colOff>
          <xdr:row>5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5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6</xdr:row>
          <xdr:rowOff>9525</xdr:rowOff>
        </xdr:from>
        <xdr:to>
          <xdr:col>4</xdr:col>
          <xdr:colOff>314325</xdr:colOff>
          <xdr:row>7</xdr:row>
          <xdr:rowOff>38100</xdr:rowOff>
        </xdr:to>
        <xdr:sp macro="" textlink="">
          <xdr:nvSpPr>
            <xdr:cNvPr id="2053" name="Check Box 5" descr="Med ?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5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 ?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8</xdr:row>
          <xdr:rowOff>19050</xdr:rowOff>
        </xdr:from>
        <xdr:to>
          <xdr:col>6</xdr:col>
          <xdr:colOff>447675</xdr:colOff>
          <xdr:row>9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5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 ?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\Desktop\Nye%20omr&#229;der_regneark\okonomiberegninger_nye_omraader-okonomiberegning_ferritsle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data"/>
      <sheetName val="Energipriser og omkostninger"/>
      <sheetName val="Etablering, hel tilslutning"/>
      <sheetName val="Etablering, blindstik"/>
      <sheetName val="Finansiering"/>
      <sheetName val="Udtræk"/>
    </sheetNames>
    <sheetDataSet>
      <sheetData sheetId="0">
        <row r="7">
          <cell r="A7" t="str">
            <v xml:space="preserve">Ejendommens adresse: </v>
          </cell>
        </row>
        <row r="37">
          <cell r="B37">
            <v>8.2661986434613794</v>
          </cell>
        </row>
      </sheetData>
      <sheetData sheetId="1"/>
      <sheetData sheetId="2">
        <row r="24">
          <cell r="B24">
            <v>84116.5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1:S78"/>
  <sheetViews>
    <sheetView tabSelected="1" zoomScaleNormal="100" workbookViewId="0">
      <selection activeCell="B9" sqref="B9"/>
    </sheetView>
  </sheetViews>
  <sheetFormatPr defaultRowHeight="15" x14ac:dyDescent="0.25"/>
  <cols>
    <col min="1" max="1" width="58.140625" customWidth="1"/>
    <col min="2" max="2" width="12.5703125" bestFit="1" customWidth="1"/>
    <col min="5" max="5" width="11.85546875" bestFit="1" customWidth="1"/>
    <col min="12" max="12" width="9.140625" customWidth="1"/>
    <col min="13" max="16" width="9.140625" hidden="1" customWidth="1"/>
    <col min="17" max="17" width="11.28515625" hidden="1" customWidth="1"/>
    <col min="18" max="19" width="9.140625" hidden="1" customWidth="1"/>
    <col min="20" max="20" width="9.140625" customWidth="1"/>
  </cols>
  <sheetData>
    <row r="1" spans="1:3" x14ac:dyDescent="0.25">
      <c r="A1" s="6"/>
      <c r="B1" s="5"/>
      <c r="C1" s="5"/>
    </row>
    <row r="2" spans="1:3" x14ac:dyDescent="0.25">
      <c r="A2" s="6"/>
      <c r="B2" s="5"/>
      <c r="C2" s="5"/>
    </row>
    <row r="3" spans="1:3" x14ac:dyDescent="0.25">
      <c r="A3" s="6"/>
      <c r="B3" s="5"/>
      <c r="C3" s="5"/>
    </row>
    <row r="4" spans="1:3" x14ac:dyDescent="0.25">
      <c r="A4" s="6" t="s">
        <v>110</v>
      </c>
      <c r="B4" s="5"/>
      <c r="C4" s="5"/>
    </row>
    <row r="5" spans="1:3" x14ac:dyDescent="0.25">
      <c r="A5" s="6" t="s">
        <v>203</v>
      </c>
      <c r="B5" s="5"/>
      <c r="C5" s="5"/>
    </row>
    <row r="6" spans="1:3" x14ac:dyDescent="0.25">
      <c r="A6" s="6"/>
      <c r="B6" s="5"/>
      <c r="C6" s="5"/>
    </row>
    <row r="7" spans="1:3" ht="15.75" thickBot="1" x14ac:dyDescent="0.3">
      <c r="A7" s="35" t="s">
        <v>70</v>
      </c>
      <c r="B7" s="36"/>
      <c r="C7" s="36"/>
    </row>
    <row r="8" spans="1:3" x14ac:dyDescent="0.25">
      <c r="A8" s="145" t="s">
        <v>0</v>
      </c>
      <c r="B8" s="5"/>
      <c r="C8" s="5"/>
    </row>
    <row r="9" spans="1:3" ht="17.25" x14ac:dyDescent="0.25">
      <c r="A9" s="5" t="s">
        <v>66</v>
      </c>
      <c r="B9" s="32">
        <v>130</v>
      </c>
      <c r="C9" s="5" t="s">
        <v>48</v>
      </c>
    </row>
    <row r="10" spans="1:3" ht="17.25" x14ac:dyDescent="0.25">
      <c r="A10" s="5" t="s">
        <v>35</v>
      </c>
      <c r="B10" s="32">
        <v>0</v>
      </c>
      <c r="C10" s="5" t="s">
        <v>48</v>
      </c>
    </row>
    <row r="11" spans="1:3" ht="15.75" thickBot="1" x14ac:dyDescent="0.3">
      <c r="A11" s="10" t="s">
        <v>3</v>
      </c>
      <c r="B11" s="33">
        <v>20</v>
      </c>
      <c r="C11" s="10" t="s">
        <v>60</v>
      </c>
    </row>
    <row r="12" spans="1:3" x14ac:dyDescent="0.25">
      <c r="A12" s="5"/>
      <c r="B12" s="5"/>
      <c r="C12" s="5"/>
    </row>
    <row r="13" spans="1:3" x14ac:dyDescent="0.25">
      <c r="A13" s="145" t="s">
        <v>107</v>
      </c>
      <c r="B13" s="5"/>
      <c r="C13" s="5"/>
    </row>
    <row r="14" spans="1:3" x14ac:dyDescent="0.25">
      <c r="A14" s="5"/>
      <c r="B14" s="5"/>
      <c r="C14" s="5"/>
    </row>
    <row r="15" spans="1:3" x14ac:dyDescent="0.25">
      <c r="A15" s="145" t="s">
        <v>106</v>
      </c>
      <c r="B15" s="5"/>
      <c r="C15" s="5"/>
    </row>
    <row r="16" spans="1:3" x14ac:dyDescent="0.25">
      <c r="A16" s="5" t="s">
        <v>42</v>
      </c>
      <c r="B16" s="32">
        <v>1990</v>
      </c>
      <c r="C16" s="5"/>
    </row>
    <row r="17" spans="1:17" x14ac:dyDescent="0.25">
      <c r="A17" s="5" t="s">
        <v>83</v>
      </c>
      <c r="B17" s="5"/>
      <c r="C17" s="5"/>
    </row>
    <row r="18" spans="1:17" x14ac:dyDescent="0.25">
      <c r="A18" s="5" t="s">
        <v>41</v>
      </c>
      <c r="B18" s="5">
        <f>IF(OR(Q21=1),IF(OR(Q26=1),100,82.5),IF(OR(Q21=2),IF(B16&gt;1977,85.7,76),IF(OR(Q21=3),100,80)))</f>
        <v>100</v>
      </c>
      <c r="C18" s="5" t="s">
        <v>40</v>
      </c>
    </row>
    <row r="19" spans="1:17" x14ac:dyDescent="0.25">
      <c r="A19" s="5" t="s">
        <v>49</v>
      </c>
      <c r="B19" s="5"/>
      <c r="C19" s="5"/>
      <c r="P19" t="s">
        <v>28</v>
      </c>
    </row>
    <row r="20" spans="1:17" x14ac:dyDescent="0.25">
      <c r="A20" s="5"/>
      <c r="B20" s="5"/>
      <c r="C20" s="5"/>
      <c r="P20" t="s">
        <v>24</v>
      </c>
    </row>
    <row r="21" spans="1:17" x14ac:dyDescent="0.25">
      <c r="A21" s="145" t="s">
        <v>108</v>
      </c>
      <c r="B21" s="5"/>
      <c r="C21" s="5"/>
      <c r="P21" t="s">
        <v>25</v>
      </c>
      <c r="Q21" s="31">
        <v>1</v>
      </c>
    </row>
    <row r="22" spans="1:17" x14ac:dyDescent="0.25">
      <c r="A22" s="17" t="s">
        <v>104</v>
      </c>
      <c r="B22" s="5"/>
      <c r="C22" s="5"/>
      <c r="P22" t="s">
        <v>26</v>
      </c>
      <c r="Q22" s="31"/>
    </row>
    <row r="23" spans="1:17" x14ac:dyDescent="0.25">
      <c r="A23" s="5" t="s">
        <v>103</v>
      </c>
      <c r="B23" s="34">
        <v>16000</v>
      </c>
      <c r="C23" t="s">
        <v>32</v>
      </c>
      <c r="P23" t="s">
        <v>96</v>
      </c>
      <c r="Q23" s="31"/>
    </row>
    <row r="24" spans="1:17" x14ac:dyDescent="0.25">
      <c r="A24" s="5" t="s">
        <v>45</v>
      </c>
      <c r="B24" s="102">
        <f>IF(Q35=1,25000,IF(Q35=2,30000,B23))</f>
        <v>16000</v>
      </c>
      <c r="C24" s="5" t="s">
        <v>32</v>
      </c>
      <c r="P24" t="s">
        <v>29</v>
      </c>
      <c r="Q24" s="31"/>
    </row>
    <row r="25" spans="1:17" x14ac:dyDescent="0.25">
      <c r="A25" s="5"/>
      <c r="B25" s="5"/>
      <c r="C25" s="5"/>
      <c r="P25" t="s">
        <v>27</v>
      </c>
      <c r="Q25" s="31"/>
    </row>
    <row r="26" spans="1:17" x14ac:dyDescent="0.25">
      <c r="A26" s="145" t="s">
        <v>44</v>
      </c>
      <c r="B26" s="5"/>
      <c r="C26" s="5"/>
      <c r="P26" t="s">
        <v>31</v>
      </c>
      <c r="Q26" s="31">
        <v>1</v>
      </c>
    </row>
    <row r="27" spans="1:17" x14ac:dyDescent="0.25">
      <c r="A27" s="17" t="s">
        <v>43</v>
      </c>
      <c r="P27" t="s">
        <v>30</v>
      </c>
      <c r="Q27" s="31"/>
    </row>
    <row r="28" spans="1:17" x14ac:dyDescent="0.25">
      <c r="A28" s="17" t="s">
        <v>44</v>
      </c>
      <c r="B28" s="34">
        <v>1500</v>
      </c>
      <c r="C28" s="5" t="str">
        <f>IF(OR(Q21=1),IF(OR(Q32=1),"kr./år","nm3/år"),IF(OR(Q21=2),IF(Q32=1,"kr./år","liter/år"),IF(OR(Q21=3),IF(Q32=1,"kr./år","kWh/år"),IF(OR(Q21=4),IF(Q32=1,"kr./år","kg/år")))))</f>
        <v>nm3/år</v>
      </c>
      <c r="P28" t="s">
        <v>27</v>
      </c>
      <c r="Q28" s="31"/>
    </row>
    <row r="29" spans="1:17" x14ac:dyDescent="0.25">
      <c r="A29" s="5" t="s">
        <v>72</v>
      </c>
      <c r="B29" s="7">
        <f>IF(OR(Q21=1),IF(OR(Q32=2),R41,R46),IF(OR(Q21=2),IF(OR(Q32=2),R42,R47),IF(OR(Q21=3),IF(OR(Q32=2),R43,R48),IF(OR(Q21=4),IF(OR(Q32=2),R44,R49)))))</f>
        <v>59.4</v>
      </c>
      <c r="C29" s="5" t="s">
        <v>38</v>
      </c>
      <c r="P29" t="s">
        <v>31</v>
      </c>
      <c r="Q29" s="31">
        <v>1</v>
      </c>
    </row>
    <row r="30" spans="1:17" x14ac:dyDescent="0.25">
      <c r="A30" s="5" t="s">
        <v>13</v>
      </c>
      <c r="B30" s="5">
        <f>IF(OR(Q21=1),IF(OR(Q29=1),243,462),IF(OR(Q21=2),IF(OR(Q29=1),333,552),IF(OR(Q21=4),IF(OR(Q29=1),333,552),0)))</f>
        <v>243</v>
      </c>
      <c r="C30" s="5" t="s">
        <v>39</v>
      </c>
      <c r="P30" t="s">
        <v>2</v>
      </c>
      <c r="Q30" s="31"/>
    </row>
    <row r="31" spans="1:17" x14ac:dyDescent="0.25">
      <c r="A31" s="5"/>
      <c r="B31" s="5"/>
      <c r="C31" s="5"/>
      <c r="P31" t="s">
        <v>32</v>
      </c>
      <c r="Q31" s="31"/>
    </row>
    <row r="32" spans="1:17" x14ac:dyDescent="0.25">
      <c r="A32" s="145" t="s">
        <v>71</v>
      </c>
      <c r="B32" s="5"/>
      <c r="C32" s="5"/>
      <c r="P32" t="s">
        <v>33</v>
      </c>
      <c r="Q32" s="31">
        <v>2</v>
      </c>
    </row>
    <row r="33" spans="1:18" x14ac:dyDescent="0.25">
      <c r="A33" s="5" t="s">
        <v>111</v>
      </c>
      <c r="B33" s="7">
        <f>B29</f>
        <v>59.4</v>
      </c>
      <c r="C33" s="5" t="s">
        <v>38</v>
      </c>
      <c r="P33" t="s">
        <v>98</v>
      </c>
      <c r="Q33" s="31"/>
    </row>
    <row r="34" spans="1:18" ht="17.25" x14ac:dyDescent="0.25">
      <c r="A34" s="5" t="s">
        <v>73</v>
      </c>
      <c r="B34" s="56">
        <f>(B33*1000000)/(4.2*1000*35)</f>
        <v>404.08163265306121</v>
      </c>
      <c r="C34" s="5" t="s">
        <v>74</v>
      </c>
      <c r="P34" t="s">
        <v>99</v>
      </c>
      <c r="Q34" s="31"/>
    </row>
    <row r="35" spans="1:18" ht="15.75" thickBot="1" x14ac:dyDescent="0.3">
      <c r="A35" s="5"/>
      <c r="B35" s="5"/>
      <c r="C35" s="5"/>
      <c r="P35" t="s">
        <v>100</v>
      </c>
      <c r="Q35" s="31">
        <v>3</v>
      </c>
    </row>
    <row r="36" spans="1:18" x14ac:dyDescent="0.25">
      <c r="A36" s="11" t="s">
        <v>21</v>
      </c>
      <c r="B36" s="12">
        <f>'Energipriser og omkostninger'!B35</f>
        <v>5709.5438775510211</v>
      </c>
      <c r="C36" s="13"/>
      <c r="P36" t="s">
        <v>101</v>
      </c>
      <c r="Q36" s="31"/>
    </row>
    <row r="37" spans="1:18" ht="15.75" thickBot="1" x14ac:dyDescent="0.3">
      <c r="A37" s="14" t="s">
        <v>22</v>
      </c>
      <c r="B37" s="15">
        <f>Etablering!B23/Inddata!B36</f>
        <v>10.860674920778008</v>
      </c>
      <c r="C37" s="16"/>
    </row>
    <row r="38" spans="1:18" x14ac:dyDescent="0.25">
      <c r="A38" s="104" t="s">
        <v>105</v>
      </c>
      <c r="B38" s="38"/>
      <c r="C38" s="39"/>
    </row>
    <row r="39" spans="1:18" x14ac:dyDescent="0.25">
      <c r="A39" s="104"/>
      <c r="B39" s="38"/>
      <c r="C39" s="39"/>
      <c r="P39" t="s">
        <v>34</v>
      </c>
    </row>
    <row r="40" spans="1:18" x14ac:dyDescent="0.25">
      <c r="A40" s="18" t="s">
        <v>46</v>
      </c>
      <c r="B40" s="5"/>
      <c r="C40" s="5"/>
      <c r="Q40" t="s">
        <v>37</v>
      </c>
    </row>
    <row r="41" spans="1:18" x14ac:dyDescent="0.25">
      <c r="A41" s="19" t="s">
        <v>47</v>
      </c>
      <c r="B41" s="5"/>
      <c r="C41" s="5"/>
      <c r="O41" t="s">
        <v>36</v>
      </c>
      <c r="P41" s="31">
        <f>IF(Q21=1,B28,"")</f>
        <v>1500</v>
      </c>
      <c r="Q41" s="31">
        <v>11</v>
      </c>
      <c r="R41" s="31">
        <f>((P41*Q41*B18/100)*3600)/1000000</f>
        <v>59.4</v>
      </c>
    </row>
    <row r="42" spans="1:18" x14ac:dyDescent="0.25">
      <c r="A42" s="5"/>
      <c r="B42" s="8"/>
      <c r="C42" s="5"/>
      <c r="O42" t="s">
        <v>25</v>
      </c>
      <c r="P42" s="31" t="str">
        <f>IF(Q21=2,B28,"")</f>
        <v/>
      </c>
      <c r="Q42" s="31">
        <v>10</v>
      </c>
      <c r="R42" s="31" t="e">
        <f>((P42*Q42*(B18/100))*3600)/1000000</f>
        <v>#VALUE!</v>
      </c>
    </row>
    <row r="43" spans="1:18" x14ac:dyDescent="0.25">
      <c r="A43" s="5" t="s">
        <v>50</v>
      </c>
      <c r="B43" s="8"/>
      <c r="C43" s="5"/>
      <c r="O43" t="s">
        <v>26</v>
      </c>
      <c r="P43" s="31" t="str">
        <f>IF(Q21=3,B28,"")</f>
        <v/>
      </c>
      <c r="Q43" s="31">
        <v>1</v>
      </c>
      <c r="R43" s="31" t="e">
        <f>((P43*Q43)*3600)/1000000</f>
        <v>#VALUE!</v>
      </c>
    </row>
    <row r="44" spans="1:18" x14ac:dyDescent="0.25">
      <c r="A44" s="5" t="s">
        <v>51</v>
      </c>
      <c r="B44" s="9"/>
      <c r="C44" s="5"/>
      <c r="O44" t="s">
        <v>96</v>
      </c>
      <c r="P44" s="31" t="str">
        <f>IF(Q21=4,B28,"")</f>
        <v/>
      </c>
      <c r="Q44" s="31">
        <v>4.9000000000000004</v>
      </c>
      <c r="R44" s="31" t="e">
        <f>((P44*Q44*B18/100)/1000)*3.6</f>
        <v>#VALUE!</v>
      </c>
    </row>
    <row r="45" spans="1:18" x14ac:dyDescent="0.25">
      <c r="A45" s="5" t="s">
        <v>77</v>
      </c>
      <c r="B45" s="5"/>
      <c r="C45" s="5"/>
      <c r="P45" s="31"/>
      <c r="Q45" s="31"/>
      <c r="R45" s="31"/>
    </row>
    <row r="46" spans="1:18" x14ac:dyDescent="0.25">
      <c r="A46" t="s">
        <v>204</v>
      </c>
      <c r="B46" s="5"/>
      <c r="C46" s="5"/>
      <c r="O46" t="s">
        <v>36</v>
      </c>
      <c r="P46" s="31">
        <f>(B28-650)/'Energipriser og omkostninger'!B7</f>
        <v>113.33333333333333</v>
      </c>
      <c r="Q46" s="31">
        <v>11</v>
      </c>
      <c r="R46" s="31">
        <f>((P46*Q46*(B18/100))*3600)/1000000</f>
        <v>4.4879999999999987</v>
      </c>
    </row>
    <row r="47" spans="1:18" x14ac:dyDescent="0.25">
      <c r="A47" s="6" t="s">
        <v>65</v>
      </c>
      <c r="B47" s="5"/>
      <c r="C47" s="5"/>
      <c r="O47" t="s">
        <v>25</v>
      </c>
      <c r="P47" s="31">
        <f>B28/'Energipriser og omkostninger'!B6</f>
        <v>141.50943396226415</v>
      </c>
      <c r="Q47" s="31">
        <v>10</v>
      </c>
      <c r="R47" s="31">
        <f>((P47*Q47*(B18/100))*3600)/1000000</f>
        <v>5.0943396226415105</v>
      </c>
    </row>
    <row r="48" spans="1:18" x14ac:dyDescent="0.25">
      <c r="B48" s="3"/>
      <c r="O48" t="s">
        <v>26</v>
      </c>
      <c r="P48" s="31">
        <f>B28/'Energipriser og omkostninger'!B11</f>
        <v>1363.6363636363635</v>
      </c>
      <c r="Q48" s="31">
        <v>1</v>
      </c>
      <c r="R48" s="31">
        <f>((P48*Q48)*3600)/1000000</f>
        <v>4.9090909090909083</v>
      </c>
    </row>
    <row r="49" spans="1:18" x14ac:dyDescent="0.25">
      <c r="B49" s="3"/>
      <c r="O49" t="s">
        <v>96</v>
      </c>
      <c r="P49" s="31">
        <f>B28/'Energipriser og omkostninger'!B9</f>
        <v>789.47368421052636</v>
      </c>
      <c r="Q49" s="31">
        <v>4.9000000000000004</v>
      </c>
      <c r="R49" s="31">
        <f>((P49*Q49*B18/100)/1000)*3.6</f>
        <v>13.926315789473687</v>
      </c>
    </row>
    <row r="50" spans="1:18" x14ac:dyDescent="0.25">
      <c r="B50" s="4"/>
    </row>
    <row r="52" spans="1:18" x14ac:dyDescent="0.25">
      <c r="A52" s="1"/>
    </row>
    <row r="53" spans="1:18" x14ac:dyDescent="0.25">
      <c r="B53" s="3"/>
    </row>
    <row r="54" spans="1:18" x14ac:dyDescent="0.25">
      <c r="B54" s="3"/>
    </row>
    <row r="55" spans="1:18" x14ac:dyDescent="0.25">
      <c r="B55" s="4"/>
    </row>
    <row r="78" spans="5:5" x14ac:dyDescent="0.25">
      <c r="E78" s="2"/>
    </row>
  </sheetData>
  <sheetProtection algorithmName="SHA-512" hashValue="58RdGb9+fn4MN9/Z/ima2MVXhCtRRnUe5pvoLAdUyXRAqc0uk2qhhNKBlrCzRdumyWCZdOCgICrceAujCwA2/w==" saltValue="uC3UxYmi2YBHWWmaLj7DQg==" spinCount="100000" sheet="1" objects="1" scenarios="1" selectLockedCells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autoLine="0" autoPict="0">
                <anchor moveWithCells="1">
                  <from>
                    <xdr:col>0</xdr:col>
                    <xdr:colOff>2724150</xdr:colOff>
                    <xdr:row>12</xdr:row>
                    <xdr:rowOff>0</xdr:rowOff>
                  </from>
                  <to>
                    <xdr:col>1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0</xdr:col>
                    <xdr:colOff>2724150</xdr:colOff>
                    <xdr:row>26</xdr:row>
                    <xdr:rowOff>0</xdr:rowOff>
                  </from>
                  <to>
                    <xdr:col>1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0</xdr:col>
                    <xdr:colOff>2724150</xdr:colOff>
                    <xdr:row>15</xdr:row>
                    <xdr:rowOff>180975</xdr:rowOff>
                  </from>
                  <to>
                    <xdr:col>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0</xdr:col>
                    <xdr:colOff>2724150</xdr:colOff>
                    <xdr:row>17</xdr:row>
                    <xdr:rowOff>180975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0</xdr:col>
                    <xdr:colOff>2743200</xdr:colOff>
                    <xdr:row>20</xdr:row>
                    <xdr:rowOff>161925</xdr:rowOff>
                  </from>
                  <to>
                    <xdr:col>1</xdr:col>
                    <xdr:colOff>19050</xdr:colOff>
                    <xdr:row>21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N38"/>
  <sheetViews>
    <sheetView workbookViewId="0">
      <selection activeCell="F10" sqref="F10"/>
    </sheetView>
  </sheetViews>
  <sheetFormatPr defaultRowHeight="15" x14ac:dyDescent="0.25"/>
  <cols>
    <col min="1" max="1" width="56.5703125" customWidth="1"/>
    <col min="2" max="2" width="18" customWidth="1"/>
    <col min="3" max="3" width="12.7109375" bestFit="1" customWidth="1"/>
    <col min="10" max="14" width="9.140625" hidden="1" customWidth="1"/>
  </cols>
  <sheetData>
    <row r="1" spans="1:3" ht="18.75" x14ac:dyDescent="0.3">
      <c r="A1" s="27" t="s">
        <v>52</v>
      </c>
      <c r="B1" t="s">
        <v>202</v>
      </c>
    </row>
    <row r="2" spans="1:3" x14ac:dyDescent="0.25">
      <c r="A2" t="str">
        <f>Inddata!A7</f>
        <v xml:space="preserve">Ejendommens adresse: </v>
      </c>
    </row>
    <row r="3" spans="1:3" ht="15.75" thickBot="1" x14ac:dyDescent="0.3"/>
    <row r="4" spans="1:3" x14ac:dyDescent="0.25">
      <c r="A4" s="76"/>
      <c r="B4" s="40"/>
      <c r="C4" s="41"/>
    </row>
    <row r="5" spans="1:3" x14ac:dyDescent="0.25">
      <c r="A5" s="146" t="s">
        <v>11</v>
      </c>
      <c r="B5" s="21"/>
      <c r="C5" s="42"/>
    </row>
    <row r="6" spans="1:3" x14ac:dyDescent="0.25">
      <c r="A6" s="43" t="s">
        <v>8</v>
      </c>
      <c r="B6" s="22">
        <v>10.6</v>
      </c>
      <c r="C6" s="44"/>
    </row>
    <row r="7" spans="1:3" ht="17.25" x14ac:dyDescent="0.25">
      <c r="A7" s="43" t="s">
        <v>112</v>
      </c>
      <c r="B7" s="22">
        <v>7.5</v>
      </c>
      <c r="C7" s="45"/>
    </row>
    <row r="8" spans="1:3" x14ac:dyDescent="0.25">
      <c r="A8" s="43" t="s">
        <v>93</v>
      </c>
      <c r="B8" s="24">
        <v>663</v>
      </c>
      <c r="C8" s="44"/>
    </row>
    <row r="9" spans="1:3" x14ac:dyDescent="0.25">
      <c r="A9" s="43" t="s">
        <v>97</v>
      </c>
      <c r="B9" s="101">
        <v>1.9</v>
      </c>
      <c r="C9" s="44"/>
    </row>
    <row r="10" spans="1:3" x14ac:dyDescent="0.25">
      <c r="A10" s="43" t="s">
        <v>9</v>
      </c>
      <c r="B10" s="22">
        <v>2.2000000000000002</v>
      </c>
      <c r="C10" s="44"/>
    </row>
    <row r="11" spans="1:3" x14ac:dyDescent="0.25">
      <c r="A11" s="43" t="s">
        <v>10</v>
      </c>
      <c r="B11" s="23">
        <v>1.1000000000000001</v>
      </c>
      <c r="C11" s="44"/>
    </row>
    <row r="12" spans="1:3" x14ac:dyDescent="0.25">
      <c r="A12" s="43" t="s">
        <v>95</v>
      </c>
      <c r="B12" s="23">
        <v>108.75</v>
      </c>
      <c r="C12" s="44"/>
    </row>
    <row r="13" spans="1:3" ht="17.25" x14ac:dyDescent="0.25">
      <c r="A13" s="57" t="s">
        <v>76</v>
      </c>
      <c r="B13" s="58">
        <v>3.75</v>
      </c>
      <c r="C13" s="59"/>
    </row>
    <row r="14" spans="1:3" x14ac:dyDescent="0.25">
      <c r="A14" s="43" t="s">
        <v>23</v>
      </c>
      <c r="B14" s="23">
        <v>325</v>
      </c>
      <c r="C14" s="44"/>
    </row>
    <row r="15" spans="1:3" ht="18" thickBot="1" x14ac:dyDescent="0.3">
      <c r="A15" s="60" t="s">
        <v>84</v>
      </c>
      <c r="B15" s="46">
        <v>12.5</v>
      </c>
      <c r="C15" s="47"/>
    </row>
    <row r="16" spans="1:3" ht="15.75" thickBot="1" x14ac:dyDescent="0.3">
      <c r="B16" s="20"/>
      <c r="C16" s="20"/>
    </row>
    <row r="17" spans="1:13" x14ac:dyDescent="0.25">
      <c r="A17" s="147" t="s">
        <v>1</v>
      </c>
      <c r="B17" s="48" t="s">
        <v>58</v>
      </c>
      <c r="C17" s="49" t="s">
        <v>59</v>
      </c>
      <c r="K17" t="s">
        <v>67</v>
      </c>
    </row>
    <row r="18" spans="1:13" x14ac:dyDescent="0.25">
      <c r="A18" s="43" t="s">
        <v>15</v>
      </c>
      <c r="B18" s="25">
        <f>IF(Inddata!Q32=2,'Energipriser og omkostninger'!M19,"")</f>
        <v>11250</v>
      </c>
      <c r="C18" s="25" t="str">
        <f>IF(Inddata!Q32=1,'Energipriser og omkostninger'!M20,"")</f>
        <v/>
      </c>
    </row>
    <row r="19" spans="1:13" x14ac:dyDescent="0.25">
      <c r="A19" s="43" t="s">
        <v>16</v>
      </c>
      <c r="B19" s="25">
        <f>IF(AND(Inddata!Q21=1,Inddata!Q32=2),650,"")</f>
        <v>650</v>
      </c>
      <c r="C19" s="50" t="str">
        <f>IF(AND(Inddata!Q32=1,Inddata!Q21=1),650,"")</f>
        <v/>
      </c>
      <c r="F19" s="55"/>
      <c r="K19" t="s">
        <v>68</v>
      </c>
      <c r="M19" s="25">
        <f>IF(Inddata!Q21=1,Inddata!B28*'Energipriser og omkostninger'!B7,IF(Inddata!Q21=2,Inddata!B28*'Energipriser og omkostninger'!B6,IF(Inddata!Q21=3,Inddata!B28*'Energipriser og omkostninger'!B11,Inddata!B28*B9)))</f>
        <v>11250</v>
      </c>
    </row>
    <row r="20" spans="1:13" x14ac:dyDescent="0.25">
      <c r="A20" s="43" t="s">
        <v>12</v>
      </c>
      <c r="B20" s="50">
        <f>IF(OR(Inddata!Q32=1,Inddata!Q21=3),"",1500)</f>
        <v>1500</v>
      </c>
      <c r="C20" s="50" t="str">
        <f>IF(OR(Inddata!Q32=2,Inddata!Q21=3),"",1875)</f>
        <v/>
      </c>
      <c r="K20" t="s">
        <v>69</v>
      </c>
      <c r="M20" s="50" t="str">
        <f>IF(Inddata!Q32=1,Inddata!B28,"")</f>
        <v/>
      </c>
    </row>
    <row r="21" spans="1:13" x14ac:dyDescent="0.25">
      <c r="A21" s="43" t="s">
        <v>17</v>
      </c>
      <c r="B21" s="25">
        <f>IF(Inddata!Q32=2,Inddata!B30*'Energipriser og omkostninger'!B10,"")</f>
        <v>534.6</v>
      </c>
      <c r="C21" s="50" t="str">
        <f>IF(Inddata!Q32=1,Inddata!B30*'Energipriser og omkostninger'!B10,"")</f>
        <v/>
      </c>
    </row>
    <row r="22" spans="1:13" x14ac:dyDescent="0.25">
      <c r="A22" s="43" t="s">
        <v>14</v>
      </c>
      <c r="B22" s="25">
        <f>IF(Inddata!Q32=2,2000,"")</f>
        <v>2000</v>
      </c>
      <c r="C22" s="50" t="str">
        <f>IF(Inddata!Q32=1,2000,"")</f>
        <v/>
      </c>
    </row>
    <row r="23" spans="1:13" ht="15.75" thickBot="1" x14ac:dyDescent="0.3">
      <c r="A23" s="51" t="s">
        <v>19</v>
      </c>
      <c r="B23" s="52">
        <f>SUM(B18:B22)</f>
        <v>15934.6</v>
      </c>
      <c r="C23" s="53">
        <f>SUM(C18:C22)</f>
        <v>0</v>
      </c>
    </row>
    <row r="24" spans="1:13" ht="15.75" thickBot="1" x14ac:dyDescent="0.3"/>
    <row r="25" spans="1:13" x14ac:dyDescent="0.25">
      <c r="A25" s="147" t="s">
        <v>18</v>
      </c>
      <c r="B25" s="40"/>
      <c r="C25" s="41"/>
    </row>
    <row r="26" spans="1:13" x14ac:dyDescent="0.25">
      <c r="A26" s="43" t="s">
        <v>53</v>
      </c>
      <c r="B26" s="26">
        <f>Inddata!B33*'Energipriser og omkostninger'!B12</f>
        <v>6459.75</v>
      </c>
      <c r="C26" s="42"/>
    </row>
    <row r="27" spans="1:13" x14ac:dyDescent="0.25">
      <c r="A27" s="43" t="s">
        <v>61</v>
      </c>
      <c r="B27" s="26">
        <f>Inddata!B34*'Energipriser og omkostninger'!B13</f>
        <v>1515.3061224489795</v>
      </c>
      <c r="C27" s="42"/>
    </row>
    <row r="28" spans="1:13" x14ac:dyDescent="0.25">
      <c r="A28" s="43" t="s">
        <v>75</v>
      </c>
      <c r="B28" s="26">
        <f>B15*Inddata!B9+B15*0.25*Inddata!B10</f>
        <v>1625</v>
      </c>
      <c r="C28" s="42"/>
    </row>
    <row r="29" spans="1:13" x14ac:dyDescent="0.25">
      <c r="A29" s="43" t="s">
        <v>54</v>
      </c>
      <c r="B29" s="26">
        <v>300</v>
      </c>
      <c r="C29" s="42"/>
    </row>
    <row r="30" spans="1:13" x14ac:dyDescent="0.25">
      <c r="A30" s="43" t="s">
        <v>55</v>
      </c>
      <c r="B30" s="26">
        <f>'Energipriser og omkostninger'!B14</f>
        <v>325</v>
      </c>
      <c r="C30" s="42"/>
    </row>
    <row r="31" spans="1:13" x14ac:dyDescent="0.25">
      <c r="A31" s="57" t="s">
        <v>102</v>
      </c>
      <c r="B31" s="105" t="str">
        <f>IF(Inddata!Q35=2,243*'Energipriser og omkostninger'!B10,"0")</f>
        <v>0</v>
      </c>
      <c r="C31" s="103"/>
    </row>
    <row r="32" spans="1:13" ht="15.75" thickBot="1" x14ac:dyDescent="0.3">
      <c r="A32" s="51" t="s">
        <v>20</v>
      </c>
      <c r="B32" s="52">
        <f>SUM(B26:B31)</f>
        <v>10225.056122448979</v>
      </c>
      <c r="C32" s="54"/>
    </row>
    <row r="34" spans="1:3" ht="15.75" thickBot="1" x14ac:dyDescent="0.3"/>
    <row r="35" spans="1:3" ht="15.75" thickBot="1" x14ac:dyDescent="0.3">
      <c r="A35" s="28" t="s">
        <v>56</v>
      </c>
      <c r="B35" s="29">
        <f>IF(Inddata!Q32=2,'Energipriser og omkostninger'!B23,'Energipriser og omkostninger'!C23)-B32</f>
        <v>5709.5438775510211</v>
      </c>
      <c r="C35" s="30" t="s">
        <v>57</v>
      </c>
    </row>
    <row r="37" spans="1:3" x14ac:dyDescent="0.25">
      <c r="A37" s="37" t="s">
        <v>63</v>
      </c>
    </row>
    <row r="38" spans="1:3" x14ac:dyDescent="0.25">
      <c r="A38" s="37" t="s">
        <v>62</v>
      </c>
    </row>
  </sheetData>
  <sheetProtection algorithmName="SHA-512" hashValue="T2k/VGifbgvoY8KExBcM9BWxPKeL+/M5obiIvmaMyZpZs45FJ5/aTdow2/18TPNHQsC6YtqyLw6d64fIG4WQZg==" saltValue="pL8MQKo4ZwlL353UtdqAE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C33"/>
  <sheetViews>
    <sheetView workbookViewId="0">
      <selection activeCell="E31" sqref="E30:E31"/>
    </sheetView>
  </sheetViews>
  <sheetFormatPr defaultColWidth="9.140625" defaultRowHeight="15" x14ac:dyDescent="0.25"/>
  <cols>
    <col min="1" max="1" width="57.42578125" style="61" customWidth="1"/>
    <col min="2" max="2" width="19.5703125" style="61" customWidth="1"/>
    <col min="3" max="3" width="4.5703125" style="61" customWidth="1"/>
    <col min="4" max="4" width="36.28515625" style="61" customWidth="1"/>
    <col min="5" max="16384" width="9.140625" style="61"/>
  </cols>
  <sheetData>
    <row r="1" spans="1:3" ht="18.75" x14ac:dyDescent="0.3">
      <c r="A1" s="80" t="s">
        <v>92</v>
      </c>
    </row>
    <row r="2" spans="1:3" x14ac:dyDescent="0.25">
      <c r="A2" s="61" t="str">
        <f>Inddata!A7</f>
        <v xml:space="preserve">Ejendommens adresse: </v>
      </c>
    </row>
    <row r="5" spans="1:3" ht="19.5" thickBot="1" x14ac:dyDescent="0.35">
      <c r="A5" s="63" t="s">
        <v>81</v>
      </c>
    </row>
    <row r="6" spans="1:3" x14ac:dyDescent="0.25">
      <c r="A6" s="71" t="s">
        <v>4</v>
      </c>
      <c r="B6" s="75">
        <f>115*(Inddata!B9+0.25*Inddata!B10)</f>
        <v>14950</v>
      </c>
      <c r="C6" s="70" t="s">
        <v>32</v>
      </c>
    </row>
    <row r="7" spans="1:3" x14ac:dyDescent="0.25">
      <c r="A7" s="65" t="s">
        <v>64</v>
      </c>
      <c r="B7" s="64">
        <f>IF(Inddata!B9&lt;70,6887.5,(((Inddata!B9+0.25*Inddata!B10)-70)*23.92+5510)*1.25)</f>
        <v>8681.5</v>
      </c>
      <c r="C7" s="66" t="s">
        <v>32</v>
      </c>
    </row>
    <row r="8" spans="1:3" x14ac:dyDescent="0.25">
      <c r="A8" s="65" t="s">
        <v>5</v>
      </c>
      <c r="B8" s="64">
        <f>Inddata!B11*830</f>
        <v>16600</v>
      </c>
      <c r="C8" s="66" t="s">
        <v>32</v>
      </c>
    </row>
    <row r="9" spans="1:3" x14ac:dyDescent="0.25">
      <c r="A9" s="65" t="s">
        <v>6</v>
      </c>
      <c r="B9" s="64">
        <f>1595*1.25</f>
        <v>1993.75</v>
      </c>
      <c r="C9" s="66" t="s">
        <v>32</v>
      </c>
    </row>
    <row r="10" spans="1:3" ht="15.75" thickBot="1" x14ac:dyDescent="0.3">
      <c r="A10" s="67" t="s">
        <v>78</v>
      </c>
      <c r="B10" s="68">
        <f>SUM(B6:B9)</f>
        <v>42225.25</v>
      </c>
      <c r="C10" s="69" t="s">
        <v>32</v>
      </c>
    </row>
    <row r="11" spans="1:3" x14ac:dyDescent="0.25">
      <c r="B11" s="62"/>
    </row>
    <row r="12" spans="1:3" ht="18.75" x14ac:dyDescent="0.3">
      <c r="A12" s="63" t="s">
        <v>79</v>
      </c>
      <c r="B12" s="55"/>
    </row>
    <row r="13" spans="1:3" ht="15.75" thickBot="1" x14ac:dyDescent="0.3">
      <c r="A13" s="96" t="s">
        <v>94</v>
      </c>
      <c r="B13" s="97">
        <f>B7*-0.5</f>
        <v>-4340.75</v>
      </c>
      <c r="C13" s="69" t="s">
        <v>32</v>
      </c>
    </row>
    <row r="14" spans="1:3" x14ac:dyDescent="0.25">
      <c r="A14" s="78"/>
      <c r="B14" s="79"/>
    </row>
    <row r="15" spans="1:3" ht="15.75" thickBot="1" x14ac:dyDescent="0.3">
      <c r="A15" s="98" t="s">
        <v>85</v>
      </c>
      <c r="B15" s="99">
        <f>SUM(B10:B13)</f>
        <v>37884.5</v>
      </c>
      <c r="C15" s="98" t="s">
        <v>32</v>
      </c>
    </row>
    <row r="16" spans="1:3" ht="15.75" thickTop="1" x14ac:dyDescent="0.25">
      <c r="A16" s="78"/>
      <c r="B16" s="79"/>
    </row>
    <row r="17" spans="1:3" ht="19.5" thickBot="1" x14ac:dyDescent="0.35">
      <c r="A17" s="80" t="s">
        <v>86</v>
      </c>
    </row>
    <row r="18" spans="1:3" ht="30" x14ac:dyDescent="0.25">
      <c r="A18" s="81" t="s">
        <v>82</v>
      </c>
      <c r="B18" s="75">
        <f>IF(Inddata!Q21=1,8125,IF(Inddata!Q21=2,5000,""))</f>
        <v>8125</v>
      </c>
      <c r="C18" s="70" t="s">
        <v>32</v>
      </c>
    </row>
    <row r="19" spans="1:3" ht="15" customHeight="1" x14ac:dyDescent="0.25">
      <c r="A19" s="65" t="s">
        <v>7</v>
      </c>
      <c r="B19" s="95">
        <f>Inddata!B24</f>
        <v>16000</v>
      </c>
      <c r="C19" s="66" t="s">
        <v>32</v>
      </c>
    </row>
    <row r="20" spans="1:3" ht="15.75" thickBot="1" x14ac:dyDescent="0.3">
      <c r="A20" s="72" t="s">
        <v>80</v>
      </c>
      <c r="B20" s="73">
        <f>SUM(B18:B19)</f>
        <v>24125</v>
      </c>
      <c r="C20" s="69" t="s">
        <v>32</v>
      </c>
    </row>
    <row r="21" spans="1:3" ht="15.75" thickBot="1" x14ac:dyDescent="0.3">
      <c r="A21" s="77"/>
      <c r="B21" s="55"/>
    </row>
    <row r="22" spans="1:3" ht="21.75" thickBot="1" x14ac:dyDescent="0.4">
      <c r="A22" s="106" t="s">
        <v>109</v>
      </c>
      <c r="B22" s="107">
        <f>B23*0.05</f>
        <v>3100.4750000000004</v>
      </c>
      <c r="C22" s="108" t="s">
        <v>32</v>
      </c>
    </row>
    <row r="23" spans="1:3" ht="15.75" thickBot="1" x14ac:dyDescent="0.3">
      <c r="A23" s="109" t="str">
        <f>IF(B19&gt;0,"I alt inkl. eget VVS Arbejde, kontant","I alt inkl.")</f>
        <v>I alt inkl. eget VVS Arbejde, kontant</v>
      </c>
      <c r="B23" s="110">
        <f>SUM(B15+B20)</f>
        <v>62009.5</v>
      </c>
      <c r="C23" s="111" t="s">
        <v>32</v>
      </c>
    </row>
    <row r="24" spans="1:3" x14ac:dyDescent="0.25">
      <c r="B24" s="55"/>
    </row>
    <row r="25" spans="1:3" x14ac:dyDescent="0.25">
      <c r="A25" s="78" t="s">
        <v>205</v>
      </c>
    </row>
    <row r="26" spans="1:3" x14ac:dyDescent="0.25">
      <c r="A26" s="61" t="s">
        <v>206</v>
      </c>
    </row>
    <row r="27" spans="1:3" ht="18" customHeight="1" x14ac:dyDescent="0.25">
      <c r="A27" s="148"/>
      <c r="B27" s="148"/>
      <c r="C27" s="149"/>
    </row>
    <row r="28" spans="1:3" ht="14.25" customHeight="1" x14ac:dyDescent="0.25">
      <c r="A28" s="148"/>
      <c r="B28" s="148"/>
      <c r="C28" s="149"/>
    </row>
    <row r="29" spans="1:3" ht="18" customHeight="1" x14ac:dyDescent="0.3">
      <c r="A29" s="150" t="str">
        <f>IF(Inddata!$Q$21=3,"BEMÆRK !!! Ved elvarme skal der opbygges vandbåret system, udgiften til dette ska indhentes separat ved VVS firma","")</f>
        <v/>
      </c>
      <c r="B29" s="148"/>
      <c r="C29" s="148"/>
    </row>
    <row r="30" spans="1:3" ht="17.25" customHeight="1" x14ac:dyDescent="0.25">
      <c r="A30" s="100"/>
    </row>
    <row r="31" spans="1:3" ht="15" customHeight="1" x14ac:dyDescent="0.25">
      <c r="A31" s="94"/>
    </row>
    <row r="32" spans="1:3" ht="15.75" customHeight="1" x14ac:dyDescent="0.25"/>
    <row r="33" ht="16.5" customHeight="1" x14ac:dyDescent="0.25"/>
  </sheetData>
  <sheetProtection algorithmName="SHA-512" hashValue="yvOFpHrFxyGNce5kvK4y82IF5omKCkQJXIttYtUQ/cEbawTppetr99Ag/cP7qmdquthxxdbGw3PkHktYuSGGnA==" saltValue="KU7RXRRrF2L2C5ysXECbuw==" spinCount="100000" sheet="1" objects="1" scenarios="1"/>
  <mergeCells count="3">
    <mergeCell ref="A28:C28"/>
    <mergeCell ref="A27:C27"/>
    <mergeCell ref="A29:C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A31" sqref="A31"/>
    </sheetView>
  </sheetViews>
  <sheetFormatPr defaultRowHeight="15" x14ac:dyDescent="0.25"/>
  <cols>
    <col min="1" max="1" width="57.42578125" customWidth="1"/>
    <col min="2" max="2" width="19.5703125" customWidth="1"/>
    <col min="3" max="3" width="4.5703125" customWidth="1"/>
  </cols>
  <sheetData>
    <row r="1" spans="1:6" ht="18.75" x14ac:dyDescent="0.3">
      <c r="A1" s="80" t="s">
        <v>113</v>
      </c>
      <c r="B1" s="61"/>
      <c r="C1" s="61"/>
    </row>
    <row r="2" spans="1:6" x14ac:dyDescent="0.25">
      <c r="A2" s="61" t="str">
        <f>[1]Inddata!A7</f>
        <v xml:space="preserve">Ejendommens adresse: </v>
      </c>
      <c r="B2" s="61"/>
      <c r="C2" s="61"/>
    </row>
    <row r="3" spans="1:6" x14ac:dyDescent="0.25">
      <c r="A3" s="61"/>
      <c r="B3" s="61"/>
      <c r="C3" s="61"/>
    </row>
    <row r="4" spans="1:6" ht="18.75" x14ac:dyDescent="0.3">
      <c r="A4" s="63" t="s">
        <v>81</v>
      </c>
      <c r="B4" s="61"/>
      <c r="C4" s="61"/>
    </row>
    <row r="5" spans="1:6" ht="15.75" thickBot="1" x14ac:dyDescent="0.3">
      <c r="A5" s="61"/>
      <c r="B5" s="61"/>
      <c r="C5" s="61"/>
    </row>
    <row r="6" spans="1:6" x14ac:dyDescent="0.25">
      <c r="A6" s="71" t="s">
        <v>64</v>
      </c>
      <c r="B6" s="75">
        <f>Etablering!B7</f>
        <v>8681.5</v>
      </c>
      <c r="C6" s="70" t="s">
        <v>32</v>
      </c>
    </row>
    <row r="7" spans="1:6" x14ac:dyDescent="0.25">
      <c r="A7" s="65" t="s">
        <v>5</v>
      </c>
      <c r="B7" s="64">
        <f>Etablering!B8</f>
        <v>16600</v>
      </c>
      <c r="C7" s="66" t="s">
        <v>32</v>
      </c>
    </row>
    <row r="8" spans="1:6" x14ac:dyDescent="0.25">
      <c r="A8" s="65" t="s">
        <v>6</v>
      </c>
      <c r="B8" s="64">
        <f>1595*1.25</f>
        <v>1993.75</v>
      </c>
      <c r="C8" s="66" t="s">
        <v>32</v>
      </c>
    </row>
    <row r="9" spans="1:6" ht="15.75" thickBot="1" x14ac:dyDescent="0.3">
      <c r="A9" s="67" t="s">
        <v>114</v>
      </c>
      <c r="B9" s="68">
        <f>SUM(B5:B8)</f>
        <v>27275.25</v>
      </c>
      <c r="C9" s="69" t="s">
        <v>32</v>
      </c>
    </row>
    <row r="10" spans="1:6" x14ac:dyDescent="0.25">
      <c r="A10" s="61"/>
      <c r="B10" s="62"/>
      <c r="C10" s="61"/>
    </row>
    <row r="11" spans="1:6" ht="19.5" thickBot="1" x14ac:dyDescent="0.35">
      <c r="A11" s="63" t="s">
        <v>115</v>
      </c>
      <c r="B11" s="55"/>
      <c r="C11" s="61"/>
    </row>
    <row r="12" spans="1:6" x14ac:dyDescent="0.25">
      <c r="A12" s="85" t="s">
        <v>94</v>
      </c>
      <c r="B12" s="87">
        <f>B6*-0.5</f>
        <v>-4340.75</v>
      </c>
      <c r="C12" s="88" t="s">
        <v>32</v>
      </c>
    </row>
    <row r="13" spans="1:6" ht="15.75" thickBot="1" x14ac:dyDescent="0.3">
      <c r="A13" s="67" t="s">
        <v>85</v>
      </c>
      <c r="B13" s="68">
        <f>SUM(B9:B12)</f>
        <v>22934.5</v>
      </c>
      <c r="C13" s="112" t="s">
        <v>32</v>
      </c>
    </row>
    <row r="14" spans="1:6" x14ac:dyDescent="0.25">
      <c r="A14" s="78"/>
      <c r="B14" s="79"/>
      <c r="C14" s="61"/>
    </row>
    <row r="15" spans="1:6" ht="19.5" thickBot="1" x14ac:dyDescent="0.35">
      <c r="A15" s="80" t="s">
        <v>116</v>
      </c>
      <c r="B15" s="61"/>
      <c r="C15" s="61"/>
    </row>
    <row r="16" spans="1:6" x14ac:dyDescent="0.25">
      <c r="A16" s="71" t="s">
        <v>4</v>
      </c>
      <c r="B16" s="75">
        <f>Etablering!B6</f>
        <v>14950</v>
      </c>
      <c r="C16" s="70" t="s">
        <v>32</v>
      </c>
      <c r="F16" s="116"/>
    </row>
    <row r="17" spans="1:3" ht="15.75" thickBot="1" x14ac:dyDescent="0.3">
      <c r="A17" s="113" t="s">
        <v>80</v>
      </c>
      <c r="B17" s="114">
        <f>SUM(B16:B16)</f>
        <v>14950</v>
      </c>
      <c r="C17" s="112" t="s">
        <v>32</v>
      </c>
    </row>
    <row r="18" spans="1:3" x14ac:dyDescent="0.25">
      <c r="A18" s="115" t="s">
        <v>117</v>
      </c>
      <c r="B18" s="55"/>
      <c r="C18" s="61"/>
    </row>
    <row r="19" spans="1:3" x14ac:dyDescent="0.25">
      <c r="A19" s="61"/>
      <c r="B19" s="61"/>
      <c r="C19" s="61"/>
    </row>
    <row r="20" spans="1:3" x14ac:dyDescent="0.25">
      <c r="A20" s="61" t="s">
        <v>206</v>
      </c>
      <c r="B20" s="61"/>
      <c r="C20" s="61"/>
    </row>
    <row r="21" spans="1:3" ht="54.75" customHeight="1" x14ac:dyDescent="0.25">
      <c r="A21" s="148" t="s">
        <v>118</v>
      </c>
      <c r="B21" s="148"/>
      <c r="C21" s="149"/>
    </row>
    <row r="22" spans="1:3" x14ac:dyDescent="0.25">
      <c r="A22" s="148"/>
      <c r="B22" s="148"/>
      <c r="C22" s="149"/>
    </row>
    <row r="23" spans="1:3" ht="39" customHeight="1" x14ac:dyDescent="0.3">
      <c r="A23" s="150" t="str">
        <f>IF(Inddata!$Q$21=3,"BEMÆRK !!! Ved elvarme skal der opbygges vandbåret system, udgiften til dette ska indhentes separat ved VVS firma","")</f>
        <v/>
      </c>
      <c r="B23" s="148"/>
      <c r="C23" s="148"/>
    </row>
  </sheetData>
  <sheetProtection algorithmName="SHA-512" hashValue="xAp4Zj68Vev1NacF+IyvQwQVDiLgOKOf4E4dJm84YBeBoi6I/cWm2fmUdQPfMJM2j563mamr/c51t/ifOR8Tog==" saltValue="M9IG8klq5EuCkBa77q3t+g==" spinCount="100000" sheet="1" objects="1" scenarios="1"/>
  <mergeCells count="3">
    <mergeCell ref="A21:C21"/>
    <mergeCell ref="A22:C22"/>
    <mergeCell ref="A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8"/>
  <sheetViews>
    <sheetView workbookViewId="0">
      <selection activeCell="C9" sqref="C9"/>
    </sheetView>
  </sheetViews>
  <sheetFormatPr defaultRowHeight="15" x14ac:dyDescent="0.25"/>
  <cols>
    <col min="1" max="1" width="19.7109375" bestFit="1" customWidth="1"/>
    <col min="2" max="2" width="14.5703125" bestFit="1" customWidth="1"/>
    <col min="5" max="5" width="12.85546875" bestFit="1" customWidth="1"/>
    <col min="6" max="6" width="15.7109375" bestFit="1" customWidth="1"/>
    <col min="10" max="15" width="0" hidden="1" customWidth="1"/>
  </cols>
  <sheetData>
    <row r="1" spans="1:14" ht="18.75" x14ac:dyDescent="0.3">
      <c r="A1" s="27" t="s">
        <v>119</v>
      </c>
    </row>
    <row r="2" spans="1:14" x14ac:dyDescent="0.25">
      <c r="A2" s="37" t="s">
        <v>120</v>
      </c>
    </row>
    <row r="3" spans="1:14" ht="15.75" thickBot="1" x14ac:dyDescent="0.3">
      <c r="A3" s="37" t="s">
        <v>121</v>
      </c>
    </row>
    <row r="4" spans="1:14" x14ac:dyDescent="0.25">
      <c r="A4" s="117" t="s">
        <v>122</v>
      </c>
      <c r="B4" s="118"/>
      <c r="C4" s="119">
        <f>Etablering!B23*0.05</f>
        <v>3100.4750000000004</v>
      </c>
      <c r="D4" s="120" t="s">
        <v>32</v>
      </c>
    </row>
    <row r="5" spans="1:14" x14ac:dyDescent="0.25">
      <c r="A5" s="121"/>
      <c r="B5" s="122"/>
      <c r="C5" s="123"/>
      <c r="D5" s="124"/>
    </row>
    <row r="6" spans="1:14" ht="15.75" thickBot="1" x14ac:dyDescent="0.3">
      <c r="A6" s="125" t="s">
        <v>123</v>
      </c>
      <c r="B6" s="126"/>
      <c r="C6" s="127">
        <f>Etablering!B23*0.95</f>
        <v>58909.024999999994</v>
      </c>
      <c r="D6" s="128" t="s">
        <v>32</v>
      </c>
    </row>
    <row r="7" spans="1:14" ht="15.75" thickBot="1" x14ac:dyDescent="0.3"/>
    <row r="8" spans="1:14" ht="15.75" thickBot="1" x14ac:dyDescent="0.3">
      <c r="C8" s="151" t="s">
        <v>124</v>
      </c>
      <c r="D8" s="152"/>
      <c r="E8" s="151" t="s">
        <v>125</v>
      </c>
      <c r="F8" s="153"/>
    </row>
    <row r="9" spans="1:14" x14ac:dyDescent="0.25">
      <c r="A9" s="129" t="s">
        <v>126</v>
      </c>
      <c r="B9" s="41"/>
      <c r="C9" s="130">
        <f>E9*4</f>
        <v>6017.7220065308884</v>
      </c>
      <c r="D9" s="131" t="s">
        <v>32</v>
      </c>
      <c r="E9" s="130">
        <f>C6*E13</f>
        <v>1504.4305016327221</v>
      </c>
      <c r="F9" s="45" t="s">
        <v>32</v>
      </c>
    </row>
    <row r="10" spans="1:14" x14ac:dyDescent="0.25">
      <c r="A10" s="43" t="s">
        <v>127</v>
      </c>
      <c r="B10" s="42"/>
      <c r="C10" s="89">
        <f>K14</f>
        <v>12</v>
      </c>
      <c r="D10" s="45" t="s">
        <v>128</v>
      </c>
      <c r="E10" s="89">
        <f>C10*4</f>
        <v>48</v>
      </c>
      <c r="F10" s="45" t="s">
        <v>129</v>
      </c>
    </row>
    <row r="11" spans="1:14" x14ac:dyDescent="0.25">
      <c r="A11" s="43" t="s">
        <v>130</v>
      </c>
      <c r="B11" s="42"/>
      <c r="C11" s="132">
        <f>IF(K14=4,2.8,IF(K14=5,2.9,IF(K14=6,3,IF(K14=7,3.1,IF(K14=8,3.2,IF(K14=9,3.2,IF(K14=10,3.3,IF(K14=11,3.4,IF(K14=12,3.5,IF(K14=13,3.6,IF(K14=14,3.7,3.8)))))))))))/100</f>
        <v>3.5000000000000003E-2</v>
      </c>
      <c r="D11" s="45"/>
      <c r="E11" s="132">
        <f>(1+C11)^(1/4)-1</f>
        <v>8.6374459977134332E-3</v>
      </c>
      <c r="F11" s="45"/>
      <c r="M11" s="141" t="s">
        <v>200</v>
      </c>
      <c r="N11" s="142" t="s">
        <v>201</v>
      </c>
    </row>
    <row r="12" spans="1:14" x14ac:dyDescent="0.25">
      <c r="A12" s="43" t="s">
        <v>131</v>
      </c>
      <c r="B12" s="42"/>
      <c r="C12" s="133">
        <f>(1-(1+C11)^-C10)/C11</f>
        <v>9.6633343345963141</v>
      </c>
      <c r="D12" s="45"/>
      <c r="E12" s="133">
        <f>(1-(1+E11)^-E10)/E11</f>
        <v>39.157026486811752</v>
      </c>
      <c r="F12" s="45"/>
      <c r="M12" s="143">
        <v>2.8</v>
      </c>
      <c r="N12" s="144">
        <v>4</v>
      </c>
    </row>
    <row r="13" spans="1:14" x14ac:dyDescent="0.25">
      <c r="A13" s="43" t="s">
        <v>132</v>
      </c>
      <c r="B13" s="42"/>
      <c r="C13" s="133">
        <f>1/C12</f>
        <v>0.1034839492637481</v>
      </c>
      <c r="D13" s="45"/>
      <c r="E13" s="133">
        <f>1/E12</f>
        <v>2.5538200668449737E-2</v>
      </c>
      <c r="F13" s="45"/>
      <c r="M13" s="143">
        <v>2.9</v>
      </c>
      <c r="N13" s="144">
        <v>5</v>
      </c>
    </row>
    <row r="14" spans="1:14" ht="15.75" thickBot="1" x14ac:dyDescent="0.3">
      <c r="A14" s="134" t="s">
        <v>133</v>
      </c>
      <c r="B14" s="54"/>
      <c r="C14" s="135">
        <f>(1+E14)^4-1</f>
        <v>3.5000000000000808E-2</v>
      </c>
      <c r="D14" s="93"/>
      <c r="E14" s="135">
        <f>IRR(F18:F78)</f>
        <v>8.6374459977136553E-3</v>
      </c>
      <c r="F14" s="93"/>
      <c r="K14">
        <f>IF(Inddata!B37&lt;4,4,IF(Inddata!B37&lt;6,7,IF(Inddata!B37&lt;7,8,IF(Inddata!B37&lt;8,9,IF(Inddata!B37&lt;9,10,IF(Inddata!B37&lt;10,11,IF(Inddata!B37&lt;11,12,IF(Inddata!B37&lt;12,13,IF(Inddata!B37&lt;13,14,IF([1]Inddata!B37&lt;15,15,N23))))))))))</f>
        <v>12</v>
      </c>
      <c r="M14" s="143">
        <v>3</v>
      </c>
      <c r="N14" s="144">
        <v>6</v>
      </c>
    </row>
    <row r="15" spans="1:14" x14ac:dyDescent="0.25">
      <c r="M15" s="143">
        <v>3.1</v>
      </c>
      <c r="N15" s="144">
        <v>7</v>
      </c>
    </row>
    <row r="16" spans="1:14" ht="15.75" thickBot="1" x14ac:dyDescent="0.3">
      <c r="M16" s="143">
        <v>3.2</v>
      </c>
      <c r="N16" s="144">
        <v>8</v>
      </c>
    </row>
    <row r="17" spans="1:14" x14ac:dyDescent="0.25">
      <c r="A17" s="129" t="s">
        <v>134</v>
      </c>
      <c r="B17" s="40" t="s">
        <v>135</v>
      </c>
      <c r="C17" s="40" t="s">
        <v>136</v>
      </c>
      <c r="D17" s="40" t="s">
        <v>137</v>
      </c>
      <c r="E17" s="40" t="s">
        <v>126</v>
      </c>
      <c r="F17" s="136" t="s">
        <v>138</v>
      </c>
      <c r="M17" s="143">
        <v>3.2</v>
      </c>
      <c r="N17" s="144">
        <v>9</v>
      </c>
    </row>
    <row r="18" spans="1:14" x14ac:dyDescent="0.25">
      <c r="A18" s="43" t="s">
        <v>139</v>
      </c>
      <c r="B18" s="137">
        <f>C6</f>
        <v>58909.024999999994</v>
      </c>
      <c r="C18" s="137"/>
      <c r="D18" s="137"/>
      <c r="E18" s="21"/>
      <c r="F18" s="138">
        <f>B18</f>
        <v>58909.024999999994</v>
      </c>
      <c r="M18" s="143">
        <v>3.3</v>
      </c>
      <c r="N18" s="144">
        <v>10</v>
      </c>
    </row>
    <row r="19" spans="1:14" x14ac:dyDescent="0.25">
      <c r="A19" s="43" t="s">
        <v>140</v>
      </c>
      <c r="B19" s="137">
        <f>B18-D19</f>
        <v>57913.418020582722</v>
      </c>
      <c r="C19" s="137">
        <f>B18*$E$11</f>
        <v>508.82352221545051</v>
      </c>
      <c r="D19" s="137">
        <f t="shared" ref="D19:D78" si="0">E19-C19</f>
        <v>995.60697941727153</v>
      </c>
      <c r="E19" s="137">
        <f>$E$9</f>
        <v>1504.4305016327221</v>
      </c>
      <c r="F19" s="138">
        <f>-1*E19</f>
        <v>-1504.4305016327221</v>
      </c>
      <c r="M19" s="143">
        <v>3.4</v>
      </c>
      <c r="N19" s="144">
        <v>11</v>
      </c>
    </row>
    <row r="20" spans="1:14" x14ac:dyDescent="0.25">
      <c r="A20" s="43" t="s">
        <v>141</v>
      </c>
      <c r="B20" s="137">
        <f t="shared" ref="B20:B78" si="1">B19-D20</f>
        <v>56909.211539645788</v>
      </c>
      <c r="C20" s="137">
        <f t="shared" ref="C20:C78" si="2">B19*$E$11</f>
        <v>500.22402069578726</v>
      </c>
      <c r="D20" s="137">
        <f t="shared" si="0"/>
        <v>1004.2064809369349</v>
      </c>
      <c r="E20" s="137">
        <f>$E$9</f>
        <v>1504.4305016327221</v>
      </c>
      <c r="F20" s="138">
        <f t="shared" ref="F20:F78" si="3">-1*E20</f>
        <v>-1504.4305016327221</v>
      </c>
      <c r="M20" s="143">
        <v>3.5</v>
      </c>
      <c r="N20" s="144">
        <v>12</v>
      </c>
    </row>
    <row r="21" spans="1:14" x14ac:dyDescent="0.25">
      <c r="A21" s="43" t="s">
        <v>142</v>
      </c>
      <c r="B21" s="137">
        <f t="shared" si="1"/>
        <v>55896.331279459206</v>
      </c>
      <c r="C21" s="137">
        <f t="shared" si="2"/>
        <v>491.55024144614066</v>
      </c>
      <c r="D21" s="137">
        <f t="shared" si="0"/>
        <v>1012.8802601865814</v>
      </c>
      <c r="E21" s="137">
        <f>$E$9</f>
        <v>1504.4305016327221</v>
      </c>
      <c r="F21" s="138">
        <f t="shared" si="3"/>
        <v>-1504.4305016327221</v>
      </c>
      <c r="M21" s="143">
        <v>3.6</v>
      </c>
      <c r="N21" s="144">
        <v>13</v>
      </c>
    </row>
    <row r="22" spans="1:14" x14ac:dyDescent="0.25">
      <c r="A22" s="43" t="s">
        <v>143</v>
      </c>
      <c r="B22" s="137">
        <f t="shared" si="1"/>
        <v>54874.70232072311</v>
      </c>
      <c r="C22" s="137">
        <f t="shared" si="2"/>
        <v>482.80154289662909</v>
      </c>
      <c r="D22" s="137">
        <f t="shared" si="0"/>
        <v>1021.628958736093</v>
      </c>
      <c r="E22" s="137">
        <f>$E$9</f>
        <v>1504.4305016327221</v>
      </c>
      <c r="F22" s="138">
        <f t="shared" si="3"/>
        <v>-1504.4305016327221</v>
      </c>
      <c r="M22" s="143">
        <v>3.7</v>
      </c>
      <c r="N22" s="144">
        <v>14</v>
      </c>
    </row>
    <row r="23" spans="1:14" x14ac:dyDescent="0.25">
      <c r="A23" s="43" t="s">
        <v>144</v>
      </c>
      <c r="B23" s="137">
        <f t="shared" si="1"/>
        <v>53844.249097026237</v>
      </c>
      <c r="C23" s="137">
        <f t="shared" si="2"/>
        <v>473.9772779358459</v>
      </c>
      <c r="D23" s="137">
        <f t="shared" si="0"/>
        <v>1030.4532236968762</v>
      </c>
      <c r="E23" s="137">
        <f>$E$9</f>
        <v>1504.4305016327221</v>
      </c>
      <c r="F23" s="138">
        <f t="shared" si="3"/>
        <v>-1504.4305016327221</v>
      </c>
      <c r="M23" s="143">
        <v>3.8</v>
      </c>
      <c r="N23" s="144">
        <v>15</v>
      </c>
    </row>
    <row r="24" spans="1:14" x14ac:dyDescent="0.25">
      <c r="A24" s="43" t="s">
        <v>145</v>
      </c>
      <c r="B24" s="137">
        <f t="shared" si="1"/>
        <v>52804.895389256511</v>
      </c>
      <c r="C24" s="137">
        <f t="shared" si="2"/>
        <v>465.07679386299441</v>
      </c>
      <c r="D24" s="137">
        <f t="shared" si="0"/>
        <v>1039.3537077697276</v>
      </c>
      <c r="E24" s="137">
        <f t="shared" ref="E24:E58" si="4">IF(B23&lt;1,0,IF(B23=0,0,$E$9))</f>
        <v>1504.4305016327221</v>
      </c>
      <c r="F24" s="138">
        <f t="shared" si="3"/>
        <v>-1504.4305016327221</v>
      </c>
    </row>
    <row r="25" spans="1:14" x14ac:dyDescent="0.25">
      <c r="A25" s="43" t="s">
        <v>146</v>
      </c>
      <c r="B25" s="137">
        <f t="shared" si="1"/>
        <v>51756.5643199634</v>
      </c>
      <c r="C25" s="137">
        <f t="shared" si="2"/>
        <v>456.09943233961019</v>
      </c>
      <c r="D25" s="137">
        <f t="shared" si="0"/>
        <v>1048.3310692931118</v>
      </c>
      <c r="E25" s="137">
        <f t="shared" si="4"/>
        <v>1504.4305016327221</v>
      </c>
      <c r="F25" s="138">
        <f t="shared" si="3"/>
        <v>-1504.4305016327221</v>
      </c>
    </row>
    <row r="26" spans="1:14" x14ac:dyDescent="0.25">
      <c r="A26" s="43" t="s">
        <v>147</v>
      </c>
      <c r="B26" s="137">
        <f t="shared" si="1"/>
        <v>50699.178347671543</v>
      </c>
      <c r="C26" s="137">
        <f t="shared" si="2"/>
        <v>447.04452934086572</v>
      </c>
      <c r="D26" s="137">
        <f t="shared" si="0"/>
        <v>1057.3859722918564</v>
      </c>
      <c r="E26" s="137">
        <f t="shared" si="4"/>
        <v>1504.4305016327221</v>
      </c>
      <c r="F26" s="138">
        <f t="shared" si="3"/>
        <v>-1504.4305016327221</v>
      </c>
    </row>
    <row r="27" spans="1:14" x14ac:dyDescent="0.25">
      <c r="A27" s="43" t="s">
        <v>148</v>
      </c>
      <c r="B27" s="137">
        <f t="shared" si="1"/>
        <v>49632.659261145272</v>
      </c>
      <c r="C27" s="137">
        <f t="shared" si="2"/>
        <v>437.91141510645514</v>
      </c>
      <c r="D27" s="137">
        <f t="shared" si="0"/>
        <v>1066.5190865262671</v>
      </c>
      <c r="E27" s="137">
        <f t="shared" si="4"/>
        <v>1504.4305016327221</v>
      </c>
      <c r="F27" s="138">
        <f t="shared" si="3"/>
        <v>-1504.4305016327221</v>
      </c>
    </row>
    <row r="28" spans="1:14" ht="15.75" thickBot="1" x14ac:dyDescent="0.3">
      <c r="A28" s="134" t="s">
        <v>149</v>
      </c>
      <c r="B28" s="139">
        <f t="shared" si="1"/>
        <v>48556.928173603606</v>
      </c>
      <c r="C28" s="137">
        <f t="shared" si="2"/>
        <v>428.69941409105382</v>
      </c>
      <c r="D28" s="139">
        <f t="shared" si="0"/>
        <v>1075.7310875416683</v>
      </c>
      <c r="E28" s="137">
        <f t="shared" si="4"/>
        <v>1504.4305016327221</v>
      </c>
      <c r="F28" s="140">
        <f t="shared" si="3"/>
        <v>-1504.4305016327221</v>
      </c>
    </row>
    <row r="29" spans="1:14" ht="15.75" thickBot="1" x14ac:dyDescent="0.3">
      <c r="A29" s="43" t="s">
        <v>150</v>
      </c>
      <c r="B29" s="139">
        <f t="shared" si="1"/>
        <v>47471.905516885236</v>
      </c>
      <c r="C29" s="137">
        <f t="shared" si="2"/>
        <v>419.40784491435113</v>
      </c>
      <c r="D29" s="139">
        <f t="shared" si="0"/>
        <v>1085.0226567183709</v>
      </c>
      <c r="E29" s="137">
        <f t="shared" si="4"/>
        <v>1504.4305016327221</v>
      </c>
      <c r="F29" s="138">
        <f t="shared" si="3"/>
        <v>-1504.4305016327221</v>
      </c>
    </row>
    <row r="30" spans="1:14" ht="15.75" thickBot="1" x14ac:dyDescent="0.3">
      <c r="A30" s="134" t="s">
        <v>151</v>
      </c>
      <c r="B30" s="139">
        <f t="shared" si="1"/>
        <v>46377.511035563162</v>
      </c>
      <c r="C30" s="137">
        <f t="shared" si="2"/>
        <v>410.03602031065066</v>
      </c>
      <c r="D30" s="139">
        <f t="shared" si="0"/>
        <v>1094.3944813220714</v>
      </c>
      <c r="E30" s="137">
        <f t="shared" si="4"/>
        <v>1504.4305016327221</v>
      </c>
      <c r="F30" s="140">
        <f t="shared" si="3"/>
        <v>-1504.4305016327221</v>
      </c>
    </row>
    <row r="31" spans="1:14" ht="15.75" thickBot="1" x14ac:dyDescent="0.3">
      <c r="A31" s="43" t="s">
        <v>152</v>
      </c>
      <c r="B31" s="139">
        <f t="shared" si="1"/>
        <v>45273.663781008479</v>
      </c>
      <c r="C31" s="137">
        <f t="shared" si="2"/>
        <v>400.58324707803564</v>
      </c>
      <c r="D31" s="139">
        <f t="shared" si="0"/>
        <v>1103.8472545546865</v>
      </c>
      <c r="E31" s="137">
        <f t="shared" si="4"/>
        <v>1504.4305016327221</v>
      </c>
      <c r="F31" s="138">
        <f t="shared" si="3"/>
        <v>-1504.4305016327221</v>
      </c>
    </row>
    <row r="32" spans="1:14" ht="15.75" thickBot="1" x14ac:dyDescent="0.3">
      <c r="A32" s="134" t="s">
        <v>153</v>
      </c>
      <c r="B32" s="139">
        <f t="shared" si="1"/>
        <v>44160.282105402854</v>
      </c>
      <c r="C32" s="137">
        <f t="shared" si="2"/>
        <v>391.04882602709529</v>
      </c>
      <c r="D32" s="139">
        <f t="shared" si="0"/>
        <v>1113.3816756056267</v>
      </c>
      <c r="E32" s="137">
        <f t="shared" si="4"/>
        <v>1504.4305016327221</v>
      </c>
      <c r="F32" s="140">
        <f t="shared" si="3"/>
        <v>-1504.4305016327221</v>
      </c>
    </row>
    <row r="33" spans="1:6" ht="15.75" thickBot="1" x14ac:dyDescent="0.3">
      <c r="A33" s="43" t="s">
        <v>154</v>
      </c>
      <c r="B33" s="139">
        <f t="shared" si="1"/>
        <v>43037.283655699342</v>
      </c>
      <c r="C33" s="137">
        <f t="shared" si="2"/>
        <v>381.432051929208</v>
      </c>
      <c r="D33" s="139">
        <f t="shared" si="0"/>
        <v>1122.9984497035141</v>
      </c>
      <c r="E33" s="137">
        <f t="shared" si="4"/>
        <v>1504.4305016327221</v>
      </c>
      <c r="F33" s="138">
        <f t="shared" si="3"/>
        <v>-1504.4305016327221</v>
      </c>
    </row>
    <row r="34" spans="1:6" ht="15.75" thickBot="1" x14ac:dyDescent="0.3">
      <c r="A34" s="134" t="s">
        <v>155</v>
      </c>
      <c r="B34" s="139">
        <f t="shared" si="1"/>
        <v>41904.585367530999</v>
      </c>
      <c r="C34" s="137">
        <f t="shared" si="2"/>
        <v>371.73221346437805</v>
      </c>
      <c r="D34" s="139">
        <f t="shared" si="0"/>
        <v>1132.6982881683441</v>
      </c>
      <c r="E34" s="137">
        <f t="shared" si="4"/>
        <v>1504.4305016327221</v>
      </c>
      <c r="F34" s="140">
        <f t="shared" si="3"/>
        <v>-1504.4305016327221</v>
      </c>
    </row>
    <row r="35" spans="1:6" ht="15.75" thickBot="1" x14ac:dyDescent="0.3">
      <c r="A35" s="43" t="s">
        <v>156</v>
      </c>
      <c r="B35" s="139">
        <f t="shared" si="1"/>
        <v>40762.103459066901</v>
      </c>
      <c r="C35" s="137">
        <f t="shared" si="2"/>
        <v>361.94859316862153</v>
      </c>
      <c r="D35" s="139">
        <f t="shared" si="0"/>
        <v>1142.4819084641006</v>
      </c>
      <c r="E35" s="137">
        <f t="shared" si="4"/>
        <v>1504.4305016327221</v>
      </c>
      <c r="F35" s="138">
        <f t="shared" si="3"/>
        <v>-1504.4305016327221</v>
      </c>
    </row>
    <row r="36" spans="1:6" ht="15.75" thickBot="1" x14ac:dyDescent="0.3">
      <c r="A36" s="134" t="s">
        <v>157</v>
      </c>
      <c r="B36" s="139">
        <f t="shared" si="1"/>
        <v>39609.753424815077</v>
      </c>
      <c r="C36" s="137">
        <f t="shared" si="2"/>
        <v>352.08046738089831</v>
      </c>
      <c r="D36" s="139">
        <f t="shared" si="0"/>
        <v>1152.3500342518237</v>
      </c>
      <c r="E36" s="137">
        <f t="shared" si="4"/>
        <v>1504.4305016327221</v>
      </c>
      <c r="F36" s="140">
        <f t="shared" si="3"/>
        <v>-1504.4305016327221</v>
      </c>
    </row>
    <row r="37" spans="1:6" ht="15.75" thickBot="1" x14ac:dyDescent="0.3">
      <c r="A37" s="43" t="s">
        <v>158</v>
      </c>
      <c r="B37" s="139">
        <f t="shared" si="1"/>
        <v>38447.450029371939</v>
      </c>
      <c r="C37" s="137">
        <f t="shared" si="2"/>
        <v>342.12710618958494</v>
      </c>
      <c r="D37" s="139">
        <f t="shared" si="0"/>
        <v>1162.3033954431371</v>
      </c>
      <c r="E37" s="137">
        <f t="shared" si="4"/>
        <v>1504.4305016327221</v>
      </c>
      <c r="F37" s="138">
        <f t="shared" si="3"/>
        <v>-1504.4305016327221</v>
      </c>
    </row>
    <row r="38" spans="1:6" ht="15.75" thickBot="1" x14ac:dyDescent="0.3">
      <c r="A38" s="134" t="s">
        <v>159</v>
      </c>
      <c r="B38" s="139">
        <f t="shared" si="1"/>
        <v>37275.107301117707</v>
      </c>
      <c r="C38" s="137">
        <f t="shared" si="2"/>
        <v>332.08777337848591</v>
      </c>
      <c r="D38" s="139">
        <f t="shared" si="0"/>
        <v>1172.3427282542361</v>
      </c>
      <c r="E38" s="137">
        <f t="shared" si="4"/>
        <v>1504.4305016327221</v>
      </c>
      <c r="F38" s="140">
        <f t="shared" si="3"/>
        <v>-1504.4305016327221</v>
      </c>
    </row>
    <row r="39" spans="1:6" ht="15.75" thickBot="1" x14ac:dyDescent="0.3">
      <c r="A39" s="43" t="s">
        <v>160</v>
      </c>
      <c r="B39" s="139">
        <f t="shared" si="1"/>
        <v>36092.638525857365</v>
      </c>
      <c r="C39" s="137">
        <f t="shared" si="2"/>
        <v>321.96172637237794</v>
      </c>
      <c r="D39" s="139">
        <f t="shared" si="0"/>
        <v>1182.468775260344</v>
      </c>
      <c r="E39" s="137">
        <f t="shared" si="4"/>
        <v>1504.4305016327221</v>
      </c>
      <c r="F39" s="138">
        <f t="shared" si="3"/>
        <v>-1504.4305016327221</v>
      </c>
    </row>
    <row r="40" spans="1:6" ht="15.75" thickBot="1" x14ac:dyDescent="0.3">
      <c r="A40" s="134" t="s">
        <v>161</v>
      </c>
      <c r="B40" s="139">
        <f t="shared" si="1"/>
        <v>34899.956240406726</v>
      </c>
      <c r="C40" s="137">
        <f t="shared" si="2"/>
        <v>311.74821618208438</v>
      </c>
      <c r="D40" s="139">
        <f t="shared" si="0"/>
        <v>1192.6822854506377</v>
      </c>
      <c r="E40" s="137">
        <f t="shared" si="4"/>
        <v>1504.4305016327221</v>
      </c>
      <c r="F40" s="140">
        <f t="shared" si="3"/>
        <v>-1504.4305016327221</v>
      </c>
    </row>
    <row r="41" spans="1:6" ht="15.75" thickBot="1" x14ac:dyDescent="0.3">
      <c r="A41" s="43" t="s">
        <v>162</v>
      </c>
      <c r="B41" s="139">
        <f t="shared" si="1"/>
        <v>33696.972226123078</v>
      </c>
      <c r="C41" s="137">
        <f t="shared" si="2"/>
        <v>301.44648734907503</v>
      </c>
      <c r="D41" s="139">
        <f t="shared" si="0"/>
        <v>1202.984014283647</v>
      </c>
      <c r="E41" s="137">
        <f t="shared" si="4"/>
        <v>1504.4305016327221</v>
      </c>
      <c r="F41" s="138">
        <f t="shared" si="3"/>
        <v>-1504.4305016327221</v>
      </c>
    </row>
    <row r="42" spans="1:6" ht="15.75" thickBot="1" x14ac:dyDescent="0.3">
      <c r="A42" s="134" t="s">
        <v>163</v>
      </c>
      <c r="B42" s="139">
        <f t="shared" si="1"/>
        <v>32483.597502379944</v>
      </c>
      <c r="C42" s="137">
        <f t="shared" si="2"/>
        <v>291.05577788958749</v>
      </c>
      <c r="D42" s="139">
        <f t="shared" si="0"/>
        <v>1213.3747237431346</v>
      </c>
      <c r="E42" s="137">
        <f t="shared" si="4"/>
        <v>1504.4305016327221</v>
      </c>
      <c r="F42" s="140">
        <f t="shared" si="3"/>
        <v>-1504.4305016327221</v>
      </c>
    </row>
    <row r="43" spans="1:6" ht="15.75" thickBot="1" x14ac:dyDescent="0.3">
      <c r="A43" s="43" t="s">
        <v>164</v>
      </c>
      <c r="B43" s="139">
        <f t="shared" si="1"/>
        <v>31259.742319985489</v>
      </c>
      <c r="C43" s="137">
        <f t="shared" si="2"/>
        <v>280.57531923826571</v>
      </c>
      <c r="D43" s="139">
        <f t="shared" si="0"/>
        <v>1223.8551823944563</v>
      </c>
      <c r="E43" s="137">
        <f t="shared" si="4"/>
        <v>1504.4305016327221</v>
      </c>
      <c r="F43" s="138">
        <f t="shared" si="3"/>
        <v>-1504.4305016327221</v>
      </c>
    </row>
    <row r="44" spans="1:6" ht="15.75" thickBot="1" x14ac:dyDescent="0.3">
      <c r="A44" s="134" t="s">
        <v>165</v>
      </c>
      <c r="B44" s="139">
        <f t="shared" si="1"/>
        <v>30025.316154544078</v>
      </c>
      <c r="C44" s="137">
        <f t="shared" si="2"/>
        <v>270.00433619131189</v>
      </c>
      <c r="D44" s="139">
        <f t="shared" si="0"/>
        <v>1234.4261654414101</v>
      </c>
      <c r="E44" s="137">
        <f t="shared" si="4"/>
        <v>1504.4305016327221</v>
      </c>
      <c r="F44" s="140">
        <f t="shared" si="3"/>
        <v>-1504.4305016327221</v>
      </c>
    </row>
    <row r="45" spans="1:6" ht="15.75" thickBot="1" x14ac:dyDescent="0.3">
      <c r="A45" s="43" t="s">
        <v>166</v>
      </c>
      <c r="B45" s="139">
        <f t="shared" si="1"/>
        <v>28780.227699760504</v>
      </c>
      <c r="C45" s="137">
        <f t="shared" si="2"/>
        <v>259.34204684914727</v>
      </c>
      <c r="D45" s="139">
        <f t="shared" si="0"/>
        <v>1245.0884547835749</v>
      </c>
      <c r="E45" s="137">
        <f t="shared" si="4"/>
        <v>1504.4305016327221</v>
      </c>
      <c r="F45" s="138">
        <f t="shared" si="3"/>
        <v>-1504.4305016327221</v>
      </c>
    </row>
    <row r="46" spans="1:6" ht="15.75" thickBot="1" x14ac:dyDescent="0.3">
      <c r="A46" s="134" t="s">
        <v>167</v>
      </c>
      <c r="B46" s="139">
        <f t="shared" si="1"/>
        <v>27524.384860686361</v>
      </c>
      <c r="C46" s="137">
        <f t="shared" si="2"/>
        <v>248.58766255857765</v>
      </c>
      <c r="D46" s="139">
        <f t="shared" si="0"/>
        <v>1255.8428390741444</v>
      </c>
      <c r="E46" s="137">
        <f t="shared" si="4"/>
        <v>1504.4305016327221</v>
      </c>
      <c r="F46" s="140">
        <f t="shared" si="3"/>
        <v>-1504.4305016327221</v>
      </c>
    </row>
    <row r="47" spans="1:6" ht="15.75" thickBot="1" x14ac:dyDescent="0.3">
      <c r="A47" s="43" t="s">
        <v>168</v>
      </c>
      <c r="B47" s="139">
        <f t="shared" si="1"/>
        <v>26257.694746908099</v>
      </c>
      <c r="C47" s="137">
        <f t="shared" si="2"/>
        <v>237.74038785445961</v>
      </c>
      <c r="D47" s="139">
        <f t="shared" si="0"/>
        <v>1266.6901137782625</v>
      </c>
      <c r="E47" s="137">
        <f t="shared" si="4"/>
        <v>1504.4305016327221</v>
      </c>
      <c r="F47" s="138">
        <f t="shared" si="3"/>
        <v>-1504.4305016327221</v>
      </c>
    </row>
    <row r="48" spans="1:6" ht="15.75" thickBot="1" x14ac:dyDescent="0.3">
      <c r="A48" s="134" t="s">
        <v>169</v>
      </c>
      <c r="B48" s="139">
        <f t="shared" si="1"/>
        <v>24980.06366567624</v>
      </c>
      <c r="C48" s="137">
        <f t="shared" si="2"/>
        <v>226.7994204008624</v>
      </c>
      <c r="D48" s="139">
        <f t="shared" si="0"/>
        <v>1277.6310812318598</v>
      </c>
      <c r="E48" s="137">
        <f t="shared" si="4"/>
        <v>1504.4305016327221</v>
      </c>
      <c r="F48" s="140">
        <f t="shared" si="3"/>
        <v>-1504.4305016327221</v>
      </c>
    </row>
    <row r="49" spans="1:6" ht="15.75" thickBot="1" x14ac:dyDescent="0.3">
      <c r="A49" s="43" t="s">
        <v>170</v>
      </c>
      <c r="B49" s="139">
        <f t="shared" si="1"/>
        <v>23691.39711497524</v>
      </c>
      <c r="C49" s="137">
        <f t="shared" si="2"/>
        <v>215.76395093172198</v>
      </c>
      <c r="D49" s="139">
        <f t="shared" si="0"/>
        <v>1288.6665507010002</v>
      </c>
      <c r="E49" s="137">
        <f t="shared" si="4"/>
        <v>1504.4305016327221</v>
      </c>
      <c r="F49" s="138">
        <f t="shared" si="3"/>
        <v>-1504.4305016327221</v>
      </c>
    </row>
    <row r="50" spans="1:6" ht="15.75" thickBot="1" x14ac:dyDescent="0.3">
      <c r="A50" s="134" t="s">
        <v>171</v>
      </c>
      <c r="B50" s="139">
        <f t="shared" si="1"/>
        <v>22391.599776533501</v>
      </c>
      <c r="C50" s="137">
        <f t="shared" si="2"/>
        <v>204.63316319098246</v>
      </c>
      <c r="D50" s="139">
        <f t="shared" si="0"/>
        <v>1299.7973384417396</v>
      </c>
      <c r="E50" s="137">
        <f t="shared" si="4"/>
        <v>1504.4305016327221</v>
      </c>
      <c r="F50" s="140">
        <f t="shared" si="3"/>
        <v>-1504.4305016327221</v>
      </c>
    </row>
    <row r="51" spans="1:6" ht="15.75" thickBot="1" x14ac:dyDescent="0.3">
      <c r="A51" s="43" t="s">
        <v>172</v>
      </c>
      <c r="B51" s="139">
        <f t="shared" si="1"/>
        <v>21080.575508772999</v>
      </c>
      <c r="C51" s="137">
        <f t="shared" si="2"/>
        <v>193.4062338722203</v>
      </c>
      <c r="D51" s="139">
        <f t="shared" si="0"/>
        <v>1311.0242677605017</v>
      </c>
      <c r="E51" s="137">
        <f t="shared" si="4"/>
        <v>1504.4305016327221</v>
      </c>
      <c r="F51" s="138">
        <f t="shared" si="3"/>
        <v>-1504.4305016327221</v>
      </c>
    </row>
    <row r="52" spans="1:6" ht="15.75" thickBot="1" x14ac:dyDescent="0.3">
      <c r="A52" s="134" t="s">
        <v>173</v>
      </c>
      <c r="B52" s="139">
        <f t="shared" si="1"/>
        <v>19758.227339698024</v>
      </c>
      <c r="C52" s="137">
        <f t="shared" si="2"/>
        <v>182.08233255774718</v>
      </c>
      <c r="D52" s="139">
        <f t="shared" si="0"/>
        <v>1322.348169074975</v>
      </c>
      <c r="E52" s="137">
        <f t="shared" si="4"/>
        <v>1504.4305016327221</v>
      </c>
      <c r="F52" s="140">
        <f t="shared" si="3"/>
        <v>-1504.4305016327221</v>
      </c>
    </row>
    <row r="53" spans="1:6" ht="15.75" thickBot="1" x14ac:dyDescent="0.3">
      <c r="A53" s="43" t="s">
        <v>174</v>
      </c>
      <c r="B53" s="139">
        <f t="shared" si="1"/>
        <v>18424.457459722489</v>
      </c>
      <c r="C53" s="137">
        <f t="shared" si="2"/>
        <v>170.66062165718682</v>
      </c>
      <c r="D53" s="139">
        <f t="shared" si="0"/>
        <v>1333.7698799755353</v>
      </c>
      <c r="E53" s="137">
        <f t="shared" si="4"/>
        <v>1504.4305016327221</v>
      </c>
      <c r="F53" s="138">
        <f t="shared" si="3"/>
        <v>-1504.4305016327221</v>
      </c>
    </row>
    <row r="54" spans="1:6" ht="15.75" thickBot="1" x14ac:dyDescent="0.3">
      <c r="A54" s="134" t="s">
        <v>175</v>
      </c>
      <c r="B54" s="139">
        <f t="shared" si="1"/>
        <v>17079.167214435289</v>
      </c>
      <c r="C54" s="137">
        <f t="shared" si="2"/>
        <v>159.14025634552144</v>
      </c>
      <c r="D54" s="139">
        <f t="shared" si="0"/>
        <v>1345.2902452872006</v>
      </c>
      <c r="E54" s="137">
        <f t="shared" si="4"/>
        <v>1504.4305016327221</v>
      </c>
      <c r="F54" s="140">
        <f t="shared" si="3"/>
        <v>-1504.4305016327221</v>
      </c>
    </row>
    <row r="55" spans="1:6" ht="15.75" thickBot="1" x14ac:dyDescent="0.3">
      <c r="A55" s="43" t="s">
        <v>176</v>
      </c>
      <c r="B55" s="139">
        <f t="shared" si="1"/>
        <v>15722.257097303169</v>
      </c>
      <c r="C55" s="137">
        <f t="shared" si="2"/>
        <v>147.52038450060257</v>
      </c>
      <c r="D55" s="139">
        <f t="shared" si="0"/>
        <v>1356.9101171321195</v>
      </c>
      <c r="E55" s="137">
        <f t="shared" si="4"/>
        <v>1504.4305016327221</v>
      </c>
      <c r="F55" s="138">
        <f t="shared" si="3"/>
        <v>-1504.4305016327221</v>
      </c>
    </row>
    <row r="56" spans="1:6" ht="15.75" thickBot="1" x14ac:dyDescent="0.3">
      <c r="A56" s="134" t="s">
        <v>177</v>
      </c>
      <c r="B56" s="139">
        <f t="shared" si="1"/>
        <v>14353.626742310569</v>
      </c>
      <c r="C56" s="137">
        <f t="shared" si="2"/>
        <v>135.80014664012288</v>
      </c>
      <c r="D56" s="139">
        <f t="shared" si="0"/>
        <v>1368.6303549925992</v>
      </c>
      <c r="E56" s="137">
        <f t="shared" si="4"/>
        <v>1504.4305016327221</v>
      </c>
      <c r="F56" s="140">
        <f t="shared" si="3"/>
        <v>-1504.4305016327221</v>
      </c>
    </row>
    <row r="57" spans="1:6" ht="15.75" thickBot="1" x14ac:dyDescent="0.3">
      <c r="A57" s="43" t="s">
        <v>178</v>
      </c>
      <c r="B57" s="139">
        <f t="shared" si="1"/>
        <v>12973.174916535891</v>
      </c>
      <c r="C57" s="137">
        <f t="shared" si="2"/>
        <v>123.97867585804293</v>
      </c>
      <c r="D57" s="139">
        <f t="shared" si="0"/>
        <v>1380.4518257746793</v>
      </c>
      <c r="E57" s="137">
        <f t="shared" si="4"/>
        <v>1504.4305016327221</v>
      </c>
      <c r="F57" s="138">
        <f t="shared" si="3"/>
        <v>-1504.4305016327221</v>
      </c>
    </row>
    <row r="58" spans="1:6" ht="15.75" thickBot="1" x14ac:dyDescent="0.3">
      <c r="A58" s="134" t="s">
        <v>179</v>
      </c>
      <c r="B58" s="139">
        <f t="shared" si="1"/>
        <v>11580.799512663638</v>
      </c>
      <c r="C58" s="137">
        <f t="shared" si="2"/>
        <v>112.05509776046924</v>
      </c>
      <c r="D58" s="139">
        <f t="shared" si="0"/>
        <v>1392.3754038722529</v>
      </c>
      <c r="E58" s="137">
        <f t="shared" si="4"/>
        <v>1504.4305016327221</v>
      </c>
      <c r="F58" s="140">
        <f t="shared" si="3"/>
        <v>-1504.4305016327221</v>
      </c>
    </row>
    <row r="59" spans="1:6" ht="15.75" thickBot="1" x14ac:dyDescent="0.3">
      <c r="A59" s="43" t="s">
        <v>180</v>
      </c>
      <c r="B59" s="139">
        <f t="shared" si="1"/>
        <v>10176.397541431894</v>
      </c>
      <c r="C59" s="137">
        <f t="shared" si="2"/>
        <v>100.02853040097821</v>
      </c>
      <c r="D59" s="139">
        <f t="shared" si="0"/>
        <v>1404.4019712317438</v>
      </c>
      <c r="E59" s="137">
        <f>IF(B58&lt;1,0,IF(B58=0,0,$E$9))</f>
        <v>1504.4305016327221</v>
      </c>
      <c r="F59" s="140">
        <f t="shared" si="3"/>
        <v>-1504.4305016327221</v>
      </c>
    </row>
    <row r="60" spans="1:6" ht="15.75" thickBot="1" x14ac:dyDescent="0.3">
      <c r="A60" s="134" t="s">
        <v>181</v>
      </c>
      <c r="B60" s="139">
        <f t="shared" si="1"/>
        <v>8759.8651240145537</v>
      </c>
      <c r="C60" s="137">
        <f t="shared" si="2"/>
        <v>87.898084215381729</v>
      </c>
      <c r="D60" s="139">
        <f t="shared" si="0"/>
        <v>1416.5324174173404</v>
      </c>
      <c r="E60" s="137">
        <f t="shared" ref="E60:E78" si="5">IF(B59&lt;1,0,IF(B59=0,0,$E$9))</f>
        <v>1504.4305016327221</v>
      </c>
      <c r="F60" s="140">
        <f t="shared" si="3"/>
        <v>-1504.4305016327221</v>
      </c>
    </row>
    <row r="61" spans="1:6" ht="15.75" thickBot="1" x14ac:dyDescent="0.3">
      <c r="A61" s="43" t="s">
        <v>182</v>
      </c>
      <c r="B61" s="139">
        <f t="shared" si="1"/>
        <v>7331.0974843377608</v>
      </c>
      <c r="C61" s="137">
        <f t="shared" si="2"/>
        <v>75.662861955928989</v>
      </c>
      <c r="D61" s="139">
        <f t="shared" si="0"/>
        <v>1428.7676396767931</v>
      </c>
      <c r="E61" s="137">
        <f t="shared" si="5"/>
        <v>1504.4305016327221</v>
      </c>
      <c r="F61" s="140">
        <f t="shared" si="3"/>
        <v>-1504.4305016327221</v>
      </c>
    </row>
    <row r="62" spans="1:6" ht="15.75" thickBot="1" x14ac:dyDescent="0.3">
      <c r="A62" s="134" t="s">
        <v>183</v>
      </c>
      <c r="B62" s="139">
        <f t="shared" si="1"/>
        <v>5889.9889413299788</v>
      </c>
      <c r="C62" s="137">
        <f t="shared" si="2"/>
        <v>63.321958624940208</v>
      </c>
      <c r="D62" s="139">
        <f t="shared" si="0"/>
        <v>1441.1085430077819</v>
      </c>
      <c r="E62" s="137">
        <f t="shared" si="5"/>
        <v>1504.4305016327221</v>
      </c>
      <c r="F62" s="140">
        <f t="shared" si="3"/>
        <v>-1504.4305016327221</v>
      </c>
    </row>
    <row r="63" spans="1:6" ht="15.75" thickBot="1" x14ac:dyDescent="0.3">
      <c r="A63" s="43" t="s">
        <v>184</v>
      </c>
      <c r="B63" s="139">
        <f t="shared" si="1"/>
        <v>4436.4329011051241</v>
      </c>
      <c r="C63" s="137">
        <f t="shared" si="2"/>
        <v>50.87446140786701</v>
      </c>
      <c r="D63" s="139">
        <f t="shared" si="0"/>
        <v>1453.556040224855</v>
      </c>
      <c r="E63" s="137">
        <f t="shared" si="5"/>
        <v>1504.4305016327221</v>
      </c>
      <c r="F63" s="140">
        <f t="shared" si="3"/>
        <v>-1504.4305016327221</v>
      </c>
    </row>
    <row r="64" spans="1:6" ht="15.75" thickBot="1" x14ac:dyDescent="0.3">
      <c r="A64" s="134" t="s">
        <v>185</v>
      </c>
      <c r="B64" s="139">
        <f t="shared" si="1"/>
        <v>2970.3218490781765</v>
      </c>
      <c r="C64" s="137">
        <f t="shared" si="2"/>
        <v>38.319449605774651</v>
      </c>
      <c r="D64" s="139">
        <f t="shared" si="0"/>
        <v>1466.1110520269474</v>
      </c>
      <c r="E64" s="137">
        <f t="shared" si="5"/>
        <v>1504.4305016327221</v>
      </c>
      <c r="F64" s="140">
        <f t="shared" si="3"/>
        <v>-1504.4305016327221</v>
      </c>
    </row>
    <row r="65" spans="1:6" ht="15.75" thickBot="1" x14ac:dyDescent="0.3">
      <c r="A65" s="43" t="s">
        <v>186</v>
      </c>
      <c r="B65" s="139">
        <f t="shared" si="1"/>
        <v>1491.5473420126955</v>
      </c>
      <c r="C65" s="137">
        <f t="shared" si="2"/>
        <v>25.655994567241059</v>
      </c>
      <c r="D65" s="139">
        <f t="shared" si="0"/>
        <v>1478.774507065481</v>
      </c>
      <c r="E65" s="137">
        <f t="shared" si="5"/>
        <v>1504.4305016327221</v>
      </c>
      <c r="F65" s="140">
        <f t="shared" si="3"/>
        <v>-1504.4305016327221</v>
      </c>
    </row>
    <row r="66" spans="1:6" ht="15.75" thickBot="1" x14ac:dyDescent="0.3">
      <c r="A66" s="134" t="s">
        <v>187</v>
      </c>
      <c r="B66" s="139">
        <f t="shared" si="1"/>
        <v>-3.5902303352486342E-10</v>
      </c>
      <c r="C66" s="137">
        <f t="shared" si="2"/>
        <v>12.883159619667666</v>
      </c>
      <c r="D66" s="139">
        <f t="shared" si="0"/>
        <v>1491.5473420130545</v>
      </c>
      <c r="E66" s="137">
        <f t="shared" si="5"/>
        <v>1504.4305016327221</v>
      </c>
      <c r="F66" s="140">
        <f t="shared" si="3"/>
        <v>-1504.4305016327221</v>
      </c>
    </row>
    <row r="67" spans="1:6" ht="15.75" thickBot="1" x14ac:dyDescent="0.3">
      <c r="A67" s="43" t="s">
        <v>188</v>
      </c>
      <c r="B67" s="139">
        <f t="shared" si="1"/>
        <v>-3.6212407558886966E-10</v>
      </c>
      <c r="C67" s="137">
        <f t="shared" si="2"/>
        <v>-3.1010420640062675E-12</v>
      </c>
      <c r="D67" s="139">
        <f t="shared" si="0"/>
        <v>3.1010420640062675E-12</v>
      </c>
      <c r="E67" s="137">
        <f t="shared" si="5"/>
        <v>0</v>
      </c>
      <c r="F67" s="140">
        <f t="shared" si="3"/>
        <v>0</v>
      </c>
    </row>
    <row r="68" spans="1:6" ht="15.75" thickBot="1" x14ac:dyDescent="0.3">
      <c r="A68" s="134" t="s">
        <v>189</v>
      </c>
      <c r="B68" s="139">
        <f t="shared" si="1"/>
        <v>-3.6525190273624041E-10</v>
      </c>
      <c r="C68" s="137">
        <f t="shared" si="2"/>
        <v>-3.1278271473707591E-12</v>
      </c>
      <c r="D68" s="139">
        <f t="shared" si="0"/>
        <v>3.1278271473707591E-12</v>
      </c>
      <c r="E68" s="137">
        <f t="shared" si="5"/>
        <v>0</v>
      </c>
      <c r="F68" s="140">
        <f t="shared" si="3"/>
        <v>0</v>
      </c>
    </row>
    <row r="69" spans="1:6" ht="15.75" thickBot="1" x14ac:dyDescent="0.3">
      <c r="A69" s="43" t="s">
        <v>190</v>
      </c>
      <c r="B69" s="139">
        <f t="shared" si="1"/>
        <v>-3.6840674632168676E-10</v>
      </c>
      <c r="C69" s="137">
        <f t="shared" si="2"/>
        <v>-3.1548435854463561E-12</v>
      </c>
      <c r="D69" s="139">
        <f t="shared" si="0"/>
        <v>3.1548435854463561E-12</v>
      </c>
      <c r="E69" s="137">
        <f t="shared" si="5"/>
        <v>0</v>
      </c>
      <c r="F69" s="140">
        <f t="shared" si="3"/>
        <v>0</v>
      </c>
    </row>
    <row r="70" spans="1:6" ht="15.75" thickBot="1" x14ac:dyDescent="0.3">
      <c r="A70" s="134" t="s">
        <v>191</v>
      </c>
      <c r="B70" s="139">
        <f t="shared" si="1"/>
        <v>-3.7158883969823366E-10</v>
      </c>
      <c r="C70" s="137">
        <f t="shared" si="2"/>
        <v>-3.1820933765468812E-12</v>
      </c>
      <c r="D70" s="139">
        <f t="shared" si="0"/>
        <v>3.1820933765468812E-12</v>
      </c>
      <c r="E70" s="137">
        <f t="shared" si="5"/>
        <v>0</v>
      </c>
      <c r="F70" s="140">
        <f t="shared" si="3"/>
        <v>0</v>
      </c>
    </row>
    <row r="71" spans="1:6" ht="15.75" thickBot="1" x14ac:dyDescent="0.3">
      <c r="A71" s="43" t="s">
        <v>192</v>
      </c>
      <c r="B71" s="139">
        <f t="shared" si="1"/>
        <v>-3.7479841823448016E-10</v>
      </c>
      <c r="C71" s="137">
        <f t="shared" si="2"/>
        <v>-3.2095785362464871E-12</v>
      </c>
      <c r="D71" s="139">
        <f t="shared" si="0"/>
        <v>3.2095785362464871E-12</v>
      </c>
      <c r="E71" s="137">
        <f t="shared" si="5"/>
        <v>0</v>
      </c>
      <c r="F71" s="140">
        <f t="shared" si="3"/>
        <v>0</v>
      </c>
    </row>
    <row r="72" spans="1:6" ht="15.75" thickBot="1" x14ac:dyDescent="0.3">
      <c r="A72" s="134" t="s">
        <v>193</v>
      </c>
      <c r="B72" s="139">
        <f t="shared" si="1"/>
        <v>-3.7803571933200888E-10</v>
      </c>
      <c r="C72" s="137">
        <f t="shared" si="2"/>
        <v>-3.2373010975287359E-12</v>
      </c>
      <c r="D72" s="139">
        <f t="shared" si="0"/>
        <v>3.2373010975287359E-12</v>
      </c>
      <c r="E72" s="137">
        <f t="shared" si="5"/>
        <v>0</v>
      </c>
      <c r="F72" s="140">
        <f t="shared" si="3"/>
        <v>0</v>
      </c>
    </row>
    <row r="73" spans="1:6" ht="15.75" thickBot="1" x14ac:dyDescent="0.3">
      <c r="A73" s="43" t="s">
        <v>194</v>
      </c>
      <c r="B73" s="139">
        <f t="shared" si="1"/>
        <v>-3.8130098244294584E-10</v>
      </c>
      <c r="C73" s="137">
        <f t="shared" si="2"/>
        <v>-3.2652631109369788E-12</v>
      </c>
      <c r="D73" s="139">
        <f t="shared" si="0"/>
        <v>3.2652631109369788E-12</v>
      </c>
      <c r="E73" s="137">
        <f t="shared" si="5"/>
        <v>0</v>
      </c>
      <c r="F73" s="140">
        <f t="shared" si="3"/>
        <v>0</v>
      </c>
    </row>
    <row r="74" spans="1:6" ht="15.75" thickBot="1" x14ac:dyDescent="0.3">
      <c r="A74" s="134" t="s">
        <v>195</v>
      </c>
      <c r="B74" s="139">
        <f t="shared" si="1"/>
        <v>-3.8459444908767188E-10</v>
      </c>
      <c r="C74" s="137">
        <f t="shared" si="2"/>
        <v>-3.2934666447260226E-12</v>
      </c>
      <c r="D74" s="139">
        <f t="shared" si="0"/>
        <v>3.2934666447260226E-12</v>
      </c>
      <c r="E74" s="137">
        <f t="shared" si="5"/>
        <v>0</v>
      </c>
      <c r="F74" s="140">
        <f t="shared" si="3"/>
        <v>0</v>
      </c>
    </row>
    <row r="75" spans="1:6" ht="15.75" thickBot="1" x14ac:dyDescent="0.3">
      <c r="A75" s="43" t="s">
        <v>196</v>
      </c>
      <c r="B75" s="139">
        <f t="shared" si="1"/>
        <v>-3.8791636287268702E-10</v>
      </c>
      <c r="C75" s="137">
        <f t="shared" si="2"/>
        <v>-3.3219137850151144E-12</v>
      </c>
      <c r="D75" s="139">
        <f t="shared" si="0"/>
        <v>3.3219137850151144E-12</v>
      </c>
      <c r="E75" s="137">
        <f t="shared" si="5"/>
        <v>0</v>
      </c>
      <c r="F75" s="140">
        <f t="shared" si="3"/>
        <v>0</v>
      </c>
    </row>
    <row r="76" spans="1:6" ht="15.75" thickBot="1" x14ac:dyDescent="0.3">
      <c r="A76" s="134" t="s">
        <v>197</v>
      </c>
      <c r="B76" s="139">
        <f t="shared" si="1"/>
        <v>-3.9126696950862926E-10</v>
      </c>
      <c r="C76" s="137">
        <f t="shared" si="2"/>
        <v>-3.3506066359422425E-12</v>
      </c>
      <c r="D76" s="139">
        <f t="shared" si="0"/>
        <v>3.3506066359422425E-12</v>
      </c>
      <c r="E76" s="137">
        <f t="shared" si="5"/>
        <v>0</v>
      </c>
      <c r="F76" s="140">
        <f t="shared" si="3"/>
        <v>0</v>
      </c>
    </row>
    <row r="77" spans="1:6" ht="15.75" thickBot="1" x14ac:dyDescent="0.3">
      <c r="A77" s="43" t="s">
        <v>198</v>
      </c>
      <c r="B77" s="139">
        <f t="shared" si="1"/>
        <v>-3.9464651682844905E-10</v>
      </c>
      <c r="C77" s="137">
        <f t="shared" si="2"/>
        <v>-3.3795473198197739E-12</v>
      </c>
      <c r="D77" s="139">
        <f t="shared" si="0"/>
        <v>3.3795473198197739E-12</v>
      </c>
      <c r="E77" s="137">
        <f t="shared" si="5"/>
        <v>0</v>
      </c>
      <c r="F77" s="140">
        <f t="shared" si="3"/>
        <v>0</v>
      </c>
    </row>
    <row r="78" spans="1:6" ht="15.75" thickBot="1" x14ac:dyDescent="0.3">
      <c r="A78" s="134" t="s">
        <v>199</v>
      </c>
      <c r="B78" s="139">
        <f t="shared" si="1"/>
        <v>-3.9805525480574049E-10</v>
      </c>
      <c r="C78" s="137">
        <f t="shared" si="2"/>
        <v>-3.4087379772914344E-12</v>
      </c>
      <c r="D78" s="139">
        <f t="shared" si="0"/>
        <v>3.4087379772914344E-12</v>
      </c>
      <c r="E78" s="137">
        <f t="shared" si="5"/>
        <v>0</v>
      </c>
      <c r="F78" s="140">
        <f t="shared" si="3"/>
        <v>0</v>
      </c>
    </row>
  </sheetData>
  <sheetProtection algorithmName="SHA-512" hashValue="TkT2PR0ckdTC9gKvojpPzTMXO85npluT6qtzFZ85N7aWRHzbuIDhtm2W7oShiktClwt8lwY2km7+zluZ4oP+Ow==" saltValue="7IVXw8ZI3Wnfm1l3A5MI5g==" spinCount="100000" sheet="1" objects="1" scenarios="1"/>
  <mergeCells count="2">
    <mergeCell ref="C8:D8"/>
    <mergeCell ref="E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1"/>
  <dimension ref="A1:J11"/>
  <sheetViews>
    <sheetView workbookViewId="0">
      <selection activeCell="G21" sqref="G21"/>
    </sheetView>
  </sheetViews>
  <sheetFormatPr defaultRowHeight="15" x14ac:dyDescent="0.25"/>
  <cols>
    <col min="6" max="6" width="0" hidden="1" customWidth="1"/>
    <col min="10" max="10" width="0" hidden="1" customWidth="1"/>
  </cols>
  <sheetData>
    <row r="1" spans="1:10" ht="18.75" x14ac:dyDescent="0.3">
      <c r="A1" s="27" t="s">
        <v>91</v>
      </c>
    </row>
    <row r="4" spans="1:10" ht="15.75" thickBot="1" x14ac:dyDescent="0.3"/>
    <row r="5" spans="1:10" x14ac:dyDescent="0.25">
      <c r="A5" s="85" t="s">
        <v>87</v>
      </c>
      <c r="B5" s="86"/>
      <c r="C5" s="86"/>
      <c r="D5" s="86"/>
      <c r="E5" s="86"/>
      <c r="F5" s="87">
        <f>Etablering!B15</f>
        <v>37884.5</v>
      </c>
      <c r="G5" s="87">
        <f>IF(J5=TRUE,F5,"")</f>
        <v>37884.5</v>
      </c>
      <c r="H5" s="88" t="s">
        <v>32</v>
      </c>
      <c r="J5" t="b">
        <v>1</v>
      </c>
    </row>
    <row r="6" spans="1:10" x14ac:dyDescent="0.25">
      <c r="A6" s="89"/>
      <c r="B6" s="61"/>
      <c r="C6" s="61"/>
      <c r="D6" s="61"/>
      <c r="E6" s="61"/>
      <c r="F6" s="61"/>
      <c r="G6" s="62"/>
      <c r="H6" s="45"/>
    </row>
    <row r="7" spans="1:10" x14ac:dyDescent="0.25">
      <c r="A7" s="89" t="s">
        <v>88</v>
      </c>
      <c r="B7" s="61"/>
      <c r="C7" s="61"/>
      <c r="D7" s="61"/>
      <c r="E7" s="61"/>
      <c r="F7" s="62">
        <f>Etablering!B19</f>
        <v>16000</v>
      </c>
      <c r="G7" s="62">
        <f>IF(J7=TRUE,F7,"")</f>
        <v>16000</v>
      </c>
      <c r="H7" s="45" t="s">
        <v>32</v>
      </c>
      <c r="J7" t="b">
        <v>1</v>
      </c>
    </row>
    <row r="8" spans="1:10" x14ac:dyDescent="0.25">
      <c r="A8" s="89"/>
      <c r="B8" s="61"/>
      <c r="C8" s="61"/>
      <c r="D8" s="61"/>
      <c r="E8" s="61"/>
      <c r="F8" s="61"/>
      <c r="G8" s="62"/>
      <c r="H8" s="45"/>
    </row>
    <row r="9" spans="1:10" x14ac:dyDescent="0.25">
      <c r="A9" s="89" t="s">
        <v>89</v>
      </c>
      <c r="B9" s="61"/>
      <c r="C9" s="61"/>
      <c r="D9" s="61"/>
      <c r="E9" s="61"/>
      <c r="F9" s="62">
        <f>Etablering!B18</f>
        <v>8125</v>
      </c>
      <c r="G9" s="62">
        <f>IF(J9=TRUE,F9,"")</f>
        <v>8125</v>
      </c>
      <c r="H9" s="45" t="s">
        <v>32</v>
      </c>
      <c r="J9" t="b">
        <v>1</v>
      </c>
    </row>
    <row r="10" spans="1:10" ht="15.75" thickBot="1" x14ac:dyDescent="0.3">
      <c r="A10" s="90"/>
      <c r="B10" s="91"/>
      <c r="C10" s="91"/>
      <c r="D10" s="91"/>
      <c r="E10" s="91"/>
      <c r="F10" s="91"/>
      <c r="G10" s="92"/>
      <c r="H10" s="93"/>
    </row>
    <row r="11" spans="1:10" ht="19.5" thickBot="1" x14ac:dyDescent="0.35">
      <c r="A11" s="82" t="s">
        <v>90</v>
      </c>
      <c r="B11" s="83"/>
      <c r="C11" s="83"/>
      <c r="D11" s="83"/>
      <c r="E11" s="83"/>
      <c r="F11" s="83"/>
      <c r="G11" s="84">
        <f>SUM(G5:G9)</f>
        <v>62009.5</v>
      </c>
      <c r="H11" s="74" t="s">
        <v>32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9525</xdr:colOff>
                    <xdr:row>3</xdr:row>
                    <xdr:rowOff>161925</xdr:rowOff>
                  </from>
                  <to>
                    <xdr:col>4</xdr:col>
                    <xdr:colOff>323850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 altText="Med ?">
                <anchor moveWithCells="1">
                  <from>
                    <xdr:col>4</xdr:col>
                    <xdr:colOff>9525</xdr:colOff>
                    <xdr:row>6</xdr:row>
                    <xdr:rowOff>9525</xdr:rowOff>
                  </from>
                  <to>
                    <xdr:col>4</xdr:col>
                    <xdr:colOff>314325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6</xdr:col>
                    <xdr:colOff>447675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53F3F28AB5149864E43D2CC99E4E9" ma:contentTypeVersion="8" ma:contentTypeDescription="Create a new document." ma:contentTypeScope="" ma:versionID="e464737994e706ee15ccede2253792af">
  <xsd:schema xmlns:xsd="http://www.w3.org/2001/XMLSchema" xmlns:xs="http://www.w3.org/2001/XMLSchema" xmlns:p="http://schemas.microsoft.com/office/2006/metadata/properties" xmlns:ns3="ef4f0882-09c5-4626-916c-39119a23842d" targetNamespace="http://schemas.microsoft.com/office/2006/metadata/properties" ma:root="true" ma:fieldsID="9b50a9e2cebcd7ec8cd9b7d8739c9c96" ns3:_="">
    <xsd:import namespace="ef4f0882-09c5-4626-916c-39119a23842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4f0882-09c5-4626-916c-39119a2384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5F99BF-7D1E-411A-A87F-CD053B5531C4}">
  <ds:schemaRefs>
    <ds:schemaRef ds:uri="http://www.w3.org/XML/1998/namespace"/>
    <ds:schemaRef ds:uri="http://schemas.microsoft.com/office/2006/metadata/properties"/>
    <ds:schemaRef ds:uri="ef4f0882-09c5-4626-916c-39119a23842d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E56D4F2-264A-4143-A21C-9AC895BDB4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4f0882-09c5-4626-916c-39119a238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422A53-5756-4448-A4D3-6ECCD36286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Inddata</vt:lpstr>
      <vt:lpstr>Energipriser og omkostninger</vt:lpstr>
      <vt:lpstr>Etablering</vt:lpstr>
      <vt:lpstr>Etablering__blindstik</vt:lpstr>
      <vt:lpstr>Finansiering</vt:lpstr>
      <vt:lpstr>Udtræk</vt:lpstr>
      <vt:lpstr>'Energipriser og omkostninger'!Udskriftsområde</vt:lpstr>
      <vt:lpstr>Inddata!Udskriftsområde</vt:lpstr>
    </vt:vector>
  </TitlesOfParts>
  <Company>Fjernvarme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Andersen</dc:creator>
  <cp:lastModifiedBy>Allan Stihøj</cp:lastModifiedBy>
  <cp:lastPrinted>2014-09-29T18:44:48Z</cp:lastPrinted>
  <dcterms:created xsi:type="dcterms:W3CDTF">2012-01-03T07:04:59Z</dcterms:created>
  <dcterms:modified xsi:type="dcterms:W3CDTF">2020-09-25T11:50:30Z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N_DOK_DokumentNummer">
    <vt:lpwstr>D14-5256</vt:lpwstr>
  </property>
  <property fmtid="{D5CDD505-2E9C-101B-9397-08002B2CF9AE}" pid="3" name="DN_DOK_DokumentVersion">
    <vt:lpwstr>2.0</vt:lpwstr>
  </property>
  <property fmtid="{D5CDD505-2E9C-101B-9397-08002B2CF9AE}" pid="4" name="DN_DOK_DokumentNavn">
    <vt:lpwstr>Okonomiberegning_fjernvarme_Ferritslev</vt:lpwstr>
  </property>
  <property fmtid="{D5CDD505-2E9C-101B-9397-08002B2CF9AE}" pid="5" name="DN_DOK_ArbejdsOrdreNr">
    <vt:lpwstr> </vt:lpwstr>
  </property>
  <property fmtid="{D5CDD505-2E9C-101B-9397-08002B2CF9AE}" pid="6" name="DN_DOK_AnsvarligFuldeNavn">
    <vt:lpwstr>Allan Stihøj</vt:lpwstr>
  </property>
  <property fmtid="{D5CDD505-2E9C-101B-9397-08002B2CF9AE}" pid="7" name="DN_DOK_AnsvarligInitialer">
    <vt:lpwstr>AS</vt:lpwstr>
  </property>
  <property fmtid="{D5CDD505-2E9C-101B-9397-08002B2CF9AE}" pid="8" name="DN_DOK_AnsvarligEmail">
    <vt:lpwstr>as@fjernvarmefyn.dk</vt:lpwstr>
  </property>
  <property fmtid="{D5CDD505-2E9C-101B-9397-08002B2CF9AE}" pid="9" name="DN_DOK_AnsvarligTelefon">
    <vt:lpwstr>65 47 30 70</vt:lpwstr>
  </property>
  <property fmtid="{D5CDD505-2E9C-101B-9397-08002B2CF9AE}" pid="10" name="DN_DOK_AnsvarligTitel">
    <vt:lpwstr>Kundecenterchef</vt:lpwstr>
  </property>
  <property fmtid="{D5CDD505-2E9C-101B-9397-08002B2CF9AE}" pid="11" name="DN_DOK_BrevDato">
    <vt:lpwstr> </vt:lpwstr>
  </property>
  <property fmtid="{D5CDD505-2E9C-101B-9397-08002B2CF9AE}" pid="12" name="DN_DOK_Kontraktpart1Fuldenavn">
    <vt:lpwstr> </vt:lpwstr>
  </property>
  <property fmtid="{D5CDD505-2E9C-101B-9397-08002B2CF9AE}" pid="13" name="DN_DOK_Kontraktpart1Gade">
    <vt:lpwstr> </vt:lpwstr>
  </property>
  <property fmtid="{D5CDD505-2E9C-101B-9397-08002B2CF9AE}" pid="14" name="DN_DOK_Kontraktpart1PostNr">
    <vt:lpwstr> </vt:lpwstr>
  </property>
  <property fmtid="{D5CDD505-2E9C-101B-9397-08002B2CF9AE}" pid="15" name="DN_DOK_Kontraktpart1By">
    <vt:lpwstr> </vt:lpwstr>
  </property>
  <property fmtid="{D5CDD505-2E9C-101B-9397-08002B2CF9AE}" pid="16" name="DN_DOK_Kontraktpart1Område">
    <vt:lpwstr> </vt:lpwstr>
  </property>
  <property fmtid="{D5CDD505-2E9C-101B-9397-08002B2CF9AE}" pid="17" name="DN_DOK_Kontraktpart1Land">
    <vt:lpwstr> </vt:lpwstr>
  </property>
  <property fmtid="{D5CDD505-2E9C-101B-9397-08002B2CF9AE}" pid="18" name="DN_DOK_Kontraktpart2Fuldenavn">
    <vt:lpwstr> </vt:lpwstr>
  </property>
  <property fmtid="{D5CDD505-2E9C-101B-9397-08002B2CF9AE}" pid="19" name="DN_DOK_Kontraktpart2Gade">
    <vt:lpwstr> </vt:lpwstr>
  </property>
  <property fmtid="{D5CDD505-2E9C-101B-9397-08002B2CF9AE}" pid="20" name="DN_DOK_Modedato">
    <vt:lpwstr> </vt:lpwstr>
  </property>
  <property fmtid="{D5CDD505-2E9C-101B-9397-08002B2CF9AE}" pid="21" name="DN_DOK_Kontraktpart2Land">
    <vt:lpwstr> </vt:lpwstr>
  </property>
  <property fmtid="{D5CDD505-2E9C-101B-9397-08002B2CF9AE}" pid="22" name="DN_DOK_Kontraktpart2Område">
    <vt:lpwstr> </vt:lpwstr>
  </property>
  <property fmtid="{D5CDD505-2E9C-101B-9397-08002B2CF9AE}" pid="23" name="DN_DOK_Kontraktpart2PostNr">
    <vt:lpwstr> </vt:lpwstr>
  </property>
  <property fmtid="{D5CDD505-2E9C-101B-9397-08002B2CF9AE}" pid="24" name="DN_DOK_InternModelederFuldeNavn">
    <vt:lpwstr> </vt:lpwstr>
  </property>
  <property fmtid="{D5CDD505-2E9C-101B-9397-08002B2CF9AE}" pid="25" name="DN_DOK_Kontraktpart2By">
    <vt:lpwstr> </vt:lpwstr>
  </property>
  <property fmtid="{D5CDD505-2E9C-101B-9397-08002B2CF9AE}" pid="26" name="DN_DOK_EksternModelederFuldeNavn">
    <vt:lpwstr> </vt:lpwstr>
  </property>
  <property fmtid="{D5CDD505-2E9C-101B-9397-08002B2CF9AE}" pid="27" name="DN_DOK_Kontraktpart3By">
    <vt:lpwstr> </vt:lpwstr>
  </property>
  <property fmtid="{D5CDD505-2E9C-101B-9397-08002B2CF9AE}" pid="28" name="DN_DOK_Kontraktpart3Fuldenavn">
    <vt:lpwstr> </vt:lpwstr>
  </property>
  <property fmtid="{D5CDD505-2E9C-101B-9397-08002B2CF9AE}" pid="29" name="DN_DOK_Kontraktpart3Gade">
    <vt:lpwstr> </vt:lpwstr>
  </property>
  <property fmtid="{D5CDD505-2E9C-101B-9397-08002B2CF9AE}" pid="30" name="DN_DOK_Kontraktpart3Land">
    <vt:lpwstr> </vt:lpwstr>
  </property>
  <property fmtid="{D5CDD505-2E9C-101B-9397-08002B2CF9AE}" pid="31" name="DN_DOK_Kontraktpart4FuldeNavn">
    <vt:lpwstr> </vt:lpwstr>
  </property>
  <property fmtid="{D5CDD505-2E9C-101B-9397-08002B2CF9AE}" pid="32" name="DN_DOK_Kontraktpart3Område">
    <vt:lpwstr> </vt:lpwstr>
  </property>
  <property fmtid="{D5CDD505-2E9C-101B-9397-08002B2CF9AE}" pid="33" name="DN_DOK_Kontraktpart4Gade">
    <vt:lpwstr> </vt:lpwstr>
  </property>
  <property fmtid="{D5CDD505-2E9C-101B-9397-08002B2CF9AE}" pid="34" name="DN_DOK_Kontraktpart4Postnr">
    <vt:lpwstr> </vt:lpwstr>
  </property>
  <property fmtid="{D5CDD505-2E9C-101B-9397-08002B2CF9AE}" pid="35" name="DN_DOK_Kontraktpart3PostNr">
    <vt:lpwstr> </vt:lpwstr>
  </property>
  <property fmtid="{D5CDD505-2E9C-101B-9397-08002B2CF9AE}" pid="36" name="DN_DOK_Kontraktpart4Område">
    <vt:lpwstr> </vt:lpwstr>
  </property>
  <property fmtid="{D5CDD505-2E9C-101B-9397-08002B2CF9AE}" pid="37" name="DN_DOK_Kontraktpart4Land">
    <vt:lpwstr> </vt:lpwstr>
  </property>
  <property fmtid="{D5CDD505-2E9C-101B-9397-08002B2CF9AE}" pid="38" name="DN_DOK_KontraktstartDato">
    <vt:lpwstr> </vt:lpwstr>
  </property>
  <property fmtid="{D5CDD505-2E9C-101B-9397-08002B2CF9AE}" pid="39" name="DN_DOK_KontraktSlutDato">
    <vt:lpwstr> </vt:lpwstr>
  </property>
  <property fmtid="{D5CDD505-2E9C-101B-9397-08002B2CF9AE}" pid="40" name="DN_DOK_OpfølgningsDato">
    <vt:lpwstr> </vt:lpwstr>
  </property>
  <property fmtid="{D5CDD505-2E9C-101B-9397-08002B2CF9AE}" pid="41" name="DN_DOK_KontraktUnderskrift">
    <vt:lpwstr> </vt:lpwstr>
  </property>
  <property fmtid="{D5CDD505-2E9C-101B-9397-08002B2CF9AE}" pid="42" name="DN_DOK_Mødedeltagere">
    <vt:lpwstr> </vt:lpwstr>
  </property>
  <property fmtid="{D5CDD505-2E9C-101B-9397-08002B2CF9AE}" pid="43" name="DN_DOK_Mødetidspunkt">
    <vt:lpwstr> </vt:lpwstr>
  </property>
  <property fmtid="{D5CDD505-2E9C-101B-9397-08002B2CF9AE}" pid="44" name="DN_DOK_Mødested">
    <vt:lpwstr> </vt:lpwstr>
  </property>
  <property fmtid="{D5CDD505-2E9C-101B-9397-08002B2CF9AE}" pid="45" name="DN_DOK_Rumindhold_indskærnket">
    <vt:lpwstr> </vt:lpwstr>
  </property>
  <property fmtid="{D5CDD505-2E9C-101B-9397-08002B2CF9AE}" pid="46" name="DN_DOK_Rumindhold_ialt">
    <vt:lpwstr> </vt:lpwstr>
  </property>
  <property fmtid="{D5CDD505-2E9C-101B-9397-08002B2CF9AE}" pid="47" name="DN_DOK_Ændringsdato">
    <vt:lpwstr> </vt:lpwstr>
  </property>
  <property fmtid="{D5CDD505-2E9C-101B-9397-08002B2CF9AE}" pid="48" name="DN_DOK_Virksomhedshåndbog_Doknr">
    <vt:lpwstr> </vt:lpwstr>
  </property>
  <property fmtid="{D5CDD505-2E9C-101B-9397-08002B2CF9AE}" pid="49" name="DN_DOK_Gyldighedsdato">
    <vt:lpwstr> </vt:lpwstr>
  </property>
  <property fmtid="{D5CDD505-2E9C-101B-9397-08002B2CF9AE}" pid="50" name="DN_DOK_Godkendt">
    <vt:lpwstr> </vt:lpwstr>
  </property>
  <property fmtid="{D5CDD505-2E9C-101B-9397-08002B2CF9AE}" pid="51" name="DN_DOK_Udarbejdet_af_Initialer">
    <vt:lpwstr> </vt:lpwstr>
  </property>
  <property fmtid="{D5CDD505-2E9C-101B-9397-08002B2CF9AE}" pid="52" name="DN_DOK_Godkendt_af_initialer">
    <vt:lpwstr> </vt:lpwstr>
  </property>
  <property fmtid="{D5CDD505-2E9C-101B-9397-08002B2CF9AE}" pid="53" name="DN_DOK_Mødenummer">
    <vt:lpwstr> </vt:lpwstr>
  </property>
  <property fmtid="{D5CDD505-2E9C-101B-9397-08002B2CF9AE}" pid="54" name="DN_DOK_Rumindhold_Type">
    <vt:lpwstr> </vt:lpwstr>
  </property>
  <property fmtid="{D5CDD505-2E9C-101B-9397-08002B2CF9AE}" pid="55" name="DN_DOK_Afdeling">
    <vt:lpwstr> </vt:lpwstr>
  </property>
  <property fmtid="{D5CDD505-2E9C-101B-9397-08002B2CF9AE}" pid="56" name="DN_SAG_Sagsnummer">
    <vt:lpwstr>ms-950</vt:lpwstr>
  </property>
  <property fmtid="{D5CDD505-2E9C-101B-9397-08002B2CF9AE}" pid="57" name="DN_SAG_Sagsnavn">
    <vt:lpwstr>Fjernvarme i Feritslev/Birkum</vt:lpwstr>
  </property>
  <property fmtid="{D5CDD505-2E9C-101B-9397-08002B2CF9AE}" pid="58" name="DN_SAG_AnsvarligFuldenavn">
    <vt:lpwstr>Rikke Gitz</vt:lpwstr>
  </property>
  <property fmtid="{D5CDD505-2E9C-101B-9397-08002B2CF9AE}" pid="59" name="DN_SAG_AnsvarligInitialer">
    <vt:lpwstr>RG</vt:lpwstr>
  </property>
  <property fmtid="{D5CDD505-2E9C-101B-9397-08002B2CF9AE}" pid="60" name="DN_SAG_Medarbejder">
    <vt:lpwstr> </vt:lpwstr>
  </property>
  <property fmtid="{D5CDD505-2E9C-101B-9397-08002B2CF9AE}" pid="61" name="DN_SAG_CPR">
    <vt:lpwstr> </vt:lpwstr>
  </property>
  <property fmtid="{D5CDD505-2E9C-101B-9397-08002B2CF9AE}" pid="62" name="DN_SAG_Stilling">
    <vt:lpwstr> </vt:lpwstr>
  </property>
  <property fmtid="{D5CDD505-2E9C-101B-9397-08002B2CF9AE}" pid="63" name="DN_SAG_Afdeling">
    <vt:lpwstr> </vt:lpwstr>
  </property>
  <property fmtid="{D5CDD505-2E9C-101B-9397-08002B2CF9AE}" pid="64" name="DN_SAG_Fagforening">
    <vt:lpwstr> </vt:lpwstr>
  </property>
  <property fmtid="{D5CDD505-2E9C-101B-9397-08002B2CF9AE}" pid="65" name="DN_SAG_Arb_o_nr">
    <vt:lpwstr> </vt:lpwstr>
  </property>
  <property fmtid="{D5CDD505-2E9C-101B-9397-08002B2CF9AE}" pid="66" name="DN_Sag_Kalkulationsdato">
    <vt:lpwstr> </vt:lpwstr>
  </property>
  <property fmtid="{D5CDD505-2E9C-101B-9397-08002B2CF9AE}" pid="67" name="DN_SAG_Sagsbehandler_Initialer">
    <vt:lpwstr> </vt:lpwstr>
  </property>
  <property fmtid="{D5CDD505-2E9C-101B-9397-08002B2CF9AE}" pid="68" name="DN_SAG_Omraade">
    <vt:lpwstr> </vt:lpwstr>
  </property>
  <property fmtid="{D5CDD505-2E9C-101B-9397-08002B2CF9AE}" pid="69" name="Comments">
    <vt:lpwstr> </vt:lpwstr>
  </property>
  <property fmtid="{D5CDD505-2E9C-101B-9397-08002B2CF9AE}" pid="70" name="DN_DOK_Navn">
    <vt:lpwstr> </vt:lpwstr>
  </property>
  <property fmtid="{D5CDD505-2E9C-101B-9397-08002B2CF9AE}" pid="71" name="DN_DOK_Stilling">
    <vt:lpwstr> </vt:lpwstr>
  </property>
  <property fmtid="{D5CDD505-2E9C-101B-9397-08002B2CF9AE}" pid="72" name="DN_DOK_Ansættelsesdato">
    <vt:lpwstr> </vt:lpwstr>
  </property>
  <property fmtid="{D5CDD505-2E9C-101B-9397-08002B2CF9AE}" pid="73" name="DN_DOK_Timer">
    <vt:lpwstr> </vt:lpwstr>
  </property>
  <property fmtid="{D5CDD505-2E9C-101B-9397-08002B2CF9AE}" pid="74" name="DN_DOK_Fagforening">
    <vt:lpwstr> </vt:lpwstr>
  </property>
  <property fmtid="{D5CDD505-2E9C-101B-9397-08002B2CF9AE}" pid="75" name="DN_DOK_Persionsbidrag">
    <vt:lpwstr> </vt:lpwstr>
  </property>
  <property fmtid="{D5CDD505-2E9C-101B-9397-08002B2CF9AE}" pid="76" name="DN_DOK_Jordarbejde">
    <vt:lpwstr> </vt:lpwstr>
  </property>
  <property fmtid="{D5CDD505-2E9C-101B-9397-08002B2CF9AE}" pid="77" name="DN_DOK_Smedearbejde">
    <vt:lpwstr> </vt:lpwstr>
  </property>
  <property fmtid="{D5CDD505-2E9C-101B-9397-08002B2CF9AE}" pid="78" name="DN_DOK_Materialer">
    <vt:lpwstr> </vt:lpwstr>
  </property>
  <property fmtid="{D5CDD505-2E9C-101B-9397-08002B2CF9AE}" pid="79" name="DN_DOK_ProjekteringGIStilsyn">
    <vt:lpwstr> </vt:lpwstr>
  </property>
  <property fmtid="{D5CDD505-2E9C-101B-9397-08002B2CF9AE}" pid="80" name="DN_DOK_Ialt">
    <vt:lpwstr> </vt:lpwstr>
  </property>
  <property fmtid="{D5CDD505-2E9C-101B-9397-08002B2CF9AE}" pid="81" name="DN_DOK_Tilsyn_Initialer">
    <vt:lpwstr> </vt:lpwstr>
  </property>
  <property fmtid="{D5CDD505-2E9C-101B-9397-08002B2CF9AE}" pid="82" name="DN_SAG_Kunde">
    <vt:lpwstr> </vt:lpwstr>
  </property>
  <property fmtid="{D5CDD505-2E9C-101B-9397-08002B2CF9AE}" pid="83" name="DN_SAG_Forkalkulationsdato">
    <vt:lpwstr> </vt:lpwstr>
  </property>
  <property fmtid="{D5CDD505-2E9C-101B-9397-08002B2CF9AE}" pid="84" name="DN_DOK_Fejlbeskrivelse">
    <vt:lpwstr> </vt:lpwstr>
  </property>
  <property fmtid="{D5CDD505-2E9C-101B-9397-08002B2CF9AE}" pid="85" name="DN_DOK_Fejlangivelse">
    <vt:lpwstr> </vt:lpwstr>
  </property>
  <property fmtid="{D5CDD505-2E9C-101B-9397-08002B2CF9AE}" pid="86" name="DN_DOK_Fejlmeddelt">
    <vt:lpwstr> </vt:lpwstr>
  </property>
  <property fmtid="{D5CDD505-2E9C-101B-9397-08002B2CF9AE}" pid="87" name="DN_DOK_Fejldato">
    <vt:lpwstr> </vt:lpwstr>
  </property>
  <property fmtid="{D5CDD505-2E9C-101B-9397-08002B2CF9AE}" pid="88" name="DN_DOK_Arbejdstid">
    <vt:lpwstr> </vt:lpwstr>
  </property>
  <property fmtid="{D5CDD505-2E9C-101B-9397-08002B2CF9AE}" pid="89" name="DN_DOK_Kunde">
    <vt:lpwstr> </vt:lpwstr>
  </property>
  <property fmtid="{D5CDD505-2E9C-101B-9397-08002B2CF9AE}" pid="90" name="DN_DOK_Telefon1">
    <vt:lpwstr> </vt:lpwstr>
  </property>
  <property fmtid="{D5CDD505-2E9C-101B-9397-08002B2CF9AE}" pid="91" name="DN_DOK_Telefon2">
    <vt:lpwstr> </vt:lpwstr>
  </property>
  <property fmtid="{D5CDD505-2E9C-101B-9397-08002B2CF9AE}" pid="92" name="DN_DOK_ModtagetAf">
    <vt:lpwstr> </vt:lpwstr>
  </property>
  <property fmtid="{D5CDD505-2E9C-101B-9397-08002B2CF9AE}" pid="93" name="DN_DOK_M3">
    <vt:lpwstr> </vt:lpwstr>
  </property>
  <property fmtid="{D5CDD505-2E9C-101B-9397-08002B2CF9AE}" pid="94" name="DN_DOK_GJ">
    <vt:lpwstr> </vt:lpwstr>
  </property>
  <property fmtid="{D5CDD505-2E9C-101B-9397-08002B2CF9AE}" pid="95" name="DN_DOK_TFremRetur">
    <vt:lpwstr> </vt:lpwstr>
  </property>
  <property fmtid="{D5CDD505-2E9C-101B-9397-08002B2CF9AE}" pid="96" name="DN_DOK_Hovedhaner">
    <vt:lpwstr> </vt:lpwstr>
  </property>
  <property fmtid="{D5CDD505-2E9C-101B-9397-08002B2CF9AE}" pid="97" name="DN_DOK_Fejltype">
    <vt:lpwstr> </vt:lpwstr>
  </property>
  <property fmtid="{D5CDD505-2E9C-101B-9397-08002B2CF9AE}" pid="98" name="DN_DOK_FejlUdbedret">
    <vt:lpwstr> </vt:lpwstr>
  </property>
  <property fmtid="{D5CDD505-2E9C-101B-9397-08002B2CF9AE}" pid="99" name="DN_DOK_Klokken">
    <vt:lpwstr> </vt:lpwstr>
  </property>
  <property fmtid="{D5CDD505-2E9C-101B-9397-08002B2CF9AE}" pid="100" name="DN_DOK_FejlUdbedretAF">
    <vt:lpwstr> </vt:lpwstr>
  </property>
  <property fmtid="{D5CDD505-2E9C-101B-9397-08002B2CF9AE}" pid="101" name="DN_DOK_SetAf">
    <vt:lpwstr> </vt:lpwstr>
  </property>
  <property fmtid="{D5CDD505-2E9C-101B-9397-08002B2CF9AE}" pid="102" name="DN_Dok_AflæsningTimer">
    <vt:lpwstr> </vt:lpwstr>
  </property>
  <property fmtid="{D5CDD505-2E9C-101B-9397-08002B2CF9AE}" pid="103" name="DN_DOK_Bemærkninger">
    <vt:lpwstr> </vt:lpwstr>
  </property>
  <property fmtid="{D5CDD505-2E9C-101B-9397-08002B2CF9AE}" pid="104" name="DN_DOK_Arb_o_nr">
    <vt:lpwstr> </vt:lpwstr>
  </property>
  <property fmtid="{D5CDD505-2E9C-101B-9397-08002B2CF9AE}" pid="105" name="DN_DOK_Vedr">
    <vt:lpwstr> </vt:lpwstr>
  </property>
  <property fmtid="{D5CDD505-2E9C-101B-9397-08002B2CF9AE}" pid="106" name="DN_DOK_tegningsnummer">
    <vt:lpwstr> </vt:lpwstr>
  </property>
  <property fmtid="{D5CDD505-2E9C-101B-9397-08002B2CF9AE}" pid="107" name="DN_DOK_ugenr">
    <vt:lpwstr> </vt:lpwstr>
  </property>
  <property fmtid="{D5CDD505-2E9C-101B-9397-08002B2CF9AE}" pid="108" name="DN_DOK_årstal">
    <vt:lpwstr> </vt:lpwstr>
  </property>
  <property fmtid="{D5CDD505-2E9C-101B-9397-08002B2CF9AE}" pid="109" name="DN_DOK_Kontaktperson">
    <vt:lpwstr> </vt:lpwstr>
  </property>
  <property fmtid="{D5CDD505-2E9C-101B-9397-08002B2CF9AE}" pid="110" name="DN_DOK_Meter">
    <vt:lpwstr> </vt:lpwstr>
  </property>
  <property fmtid="{D5CDD505-2E9C-101B-9397-08002B2CF9AE}" pid="111" name="DN_DOK_m2_ejendom">
    <vt:lpwstr> </vt:lpwstr>
  </property>
  <property fmtid="{D5CDD505-2E9C-101B-9397-08002B2CF9AE}" pid="112" name="DN_DOK_m2_kælder">
    <vt:lpwstr> </vt:lpwstr>
  </property>
  <property fmtid="{D5CDD505-2E9C-101B-9397-08002B2CF9AE}" pid="113" name="DN_DOK_Afkryds_GAS">
    <vt:lpwstr> </vt:lpwstr>
  </property>
  <property fmtid="{D5CDD505-2E9C-101B-9397-08002B2CF9AE}" pid="114" name="DN_DOK_Fjern_Olietank">
    <vt:lpwstr> </vt:lpwstr>
  </property>
  <property fmtid="{D5CDD505-2E9C-101B-9397-08002B2CF9AE}" pid="115" name="DN_DOK_VVS_installation">
    <vt:lpwstr> </vt:lpwstr>
  </property>
  <property fmtid="{D5CDD505-2E9C-101B-9397-08002B2CF9AE}" pid="116" name="DN_DOK_Finansiering">
    <vt:lpwstr> </vt:lpwstr>
  </property>
  <property fmtid="{D5CDD505-2E9C-101B-9397-08002B2CF9AE}" pid="117" name="DN_DOK_Samlet_Pris">
    <vt:lpwstr> </vt:lpwstr>
  </property>
  <property fmtid="{D5CDD505-2E9C-101B-9397-08002B2CF9AE}" pid="118" name="DN_DOK_Underskriftsdato">
    <vt:lpwstr> </vt:lpwstr>
  </property>
  <property fmtid="{D5CDD505-2E9C-101B-9397-08002B2CF9AE}" pid="119" name="DN_DOK_Anlægsadresse_Gade">
    <vt:lpwstr> </vt:lpwstr>
  </property>
  <property fmtid="{D5CDD505-2E9C-101B-9397-08002B2CF9AE}" pid="120" name="DN_DOK_Anlægsadresse_Postnr">
    <vt:lpwstr> </vt:lpwstr>
  </property>
  <property fmtid="{D5CDD505-2E9C-101B-9397-08002B2CF9AE}" pid="121" name="DN_DOK_Anlægsadresse_By">
    <vt:lpwstr> </vt:lpwstr>
  </property>
  <property fmtid="{D5CDD505-2E9C-101B-9397-08002B2CF9AE}" pid="122" name="DN_DOK_Besøgsdato">
    <vt:lpwstr> </vt:lpwstr>
  </property>
  <property fmtid="{D5CDD505-2E9C-101B-9397-08002B2CF9AE}" pid="123" name="DN_DOK_Brugernavn">
    <vt:lpwstr> </vt:lpwstr>
  </property>
  <property fmtid="{D5CDD505-2E9C-101B-9397-08002B2CF9AE}" pid="124" name="DN_DOK_Dokument_Nr">
    <vt:lpwstr>D14-5256</vt:lpwstr>
  </property>
  <property fmtid="{D5CDD505-2E9C-101B-9397-08002B2CF9AE}" pid="125" name="DN_DOK_Låntager1_Navn">
    <vt:lpwstr> </vt:lpwstr>
  </property>
  <property fmtid="{D5CDD505-2E9C-101B-9397-08002B2CF9AE}" pid="126" name="DN_DOK_Låntager1_Gade">
    <vt:lpwstr> </vt:lpwstr>
  </property>
  <property fmtid="{D5CDD505-2E9C-101B-9397-08002B2CF9AE}" pid="127" name="DN_DOK_Låntager1_PostNr">
    <vt:lpwstr> </vt:lpwstr>
  </property>
  <property fmtid="{D5CDD505-2E9C-101B-9397-08002B2CF9AE}" pid="128" name="DN_DOK_Låntager1_By">
    <vt:lpwstr> </vt:lpwstr>
  </property>
  <property fmtid="{D5CDD505-2E9C-101B-9397-08002B2CF9AE}" pid="129" name="DN_DOK_Låntager2_Navn">
    <vt:lpwstr> </vt:lpwstr>
  </property>
  <property fmtid="{D5CDD505-2E9C-101B-9397-08002B2CF9AE}" pid="130" name="DN_DOK_Låntager2_Gade">
    <vt:lpwstr> </vt:lpwstr>
  </property>
  <property fmtid="{D5CDD505-2E9C-101B-9397-08002B2CF9AE}" pid="131" name="DN_DOK_Låntager2_PostNr">
    <vt:lpwstr> </vt:lpwstr>
  </property>
  <property fmtid="{D5CDD505-2E9C-101B-9397-08002B2CF9AE}" pid="132" name="DN_DOK_Låntager2_By">
    <vt:lpwstr> </vt:lpwstr>
  </property>
  <property fmtid="{D5CDD505-2E9C-101B-9397-08002B2CF9AE}" pid="133" name="DN_DOK_Lån_Minus_Rente">
    <vt:lpwstr> </vt:lpwstr>
  </property>
  <property fmtid="{D5CDD505-2E9C-101B-9397-08002B2CF9AE}" pid="134" name="DN_DOK_Skriver_Kroner">
    <vt:lpwstr> </vt:lpwstr>
  </property>
  <property fmtid="{D5CDD505-2E9C-101B-9397-08002B2CF9AE}" pid="135" name="DN_DOK_Lån_Plus_Rente">
    <vt:lpwstr> </vt:lpwstr>
  </property>
  <property fmtid="{D5CDD505-2E9C-101B-9397-08002B2CF9AE}" pid="136" name="DN_DOK_Kvartalsrate">
    <vt:lpwstr> </vt:lpwstr>
  </property>
  <property fmtid="{D5CDD505-2E9C-101B-9397-08002B2CF9AE}" pid="137" name="DN_DOK_Første_Dag">
    <vt:lpwstr> </vt:lpwstr>
  </property>
  <property fmtid="{D5CDD505-2E9C-101B-9397-08002B2CF9AE}" pid="138" name="DN_DOK_Første_Kvartal">
    <vt:lpwstr> </vt:lpwstr>
  </property>
  <property fmtid="{D5CDD505-2E9C-101B-9397-08002B2CF9AE}" pid="139" name="DN_DOK_Første_år">
    <vt:lpwstr> </vt:lpwstr>
  </property>
  <property fmtid="{D5CDD505-2E9C-101B-9397-08002B2CF9AE}" pid="140" name="DN_DOK_Sidste_Kvartal">
    <vt:lpwstr> </vt:lpwstr>
  </property>
  <property fmtid="{D5CDD505-2E9C-101B-9397-08002B2CF9AE}" pid="141" name="DN_DOK_Sidste_År">
    <vt:lpwstr> </vt:lpwstr>
  </property>
  <property fmtid="{D5CDD505-2E9C-101B-9397-08002B2CF9AE}" pid="142" name="DN_DOK_Fast_Rente">
    <vt:lpwstr> </vt:lpwstr>
  </property>
  <property fmtid="{D5CDD505-2E9C-101B-9397-08002B2CF9AE}" pid="143" name="DN_DOK_Antal_Ydelser">
    <vt:lpwstr> </vt:lpwstr>
  </property>
  <property fmtid="{D5CDD505-2E9C-101B-9397-08002B2CF9AE}" pid="144" name="DN_DOK_Antal_år">
    <vt:lpwstr> </vt:lpwstr>
  </property>
  <property fmtid="{D5CDD505-2E9C-101B-9397-08002B2CF9AE}" pid="145" name="DN_SAG_Postadresse">
    <vt:lpwstr> </vt:lpwstr>
  </property>
  <property fmtid="{D5CDD505-2E9C-101B-9397-08002B2CF9AE}" pid="146" name="DN_SAG_Målernr">
    <vt:lpwstr> </vt:lpwstr>
  </property>
  <property fmtid="{D5CDD505-2E9C-101B-9397-08002B2CF9AE}" pid="147" name="DN_SAG_Følernes_placering">
    <vt:lpwstr> </vt:lpwstr>
  </property>
  <property fmtid="{D5CDD505-2E9C-101B-9397-08002B2CF9AE}" pid="148" name="DN_SAG_Målers_placering">
    <vt:lpwstr> </vt:lpwstr>
  </property>
  <property fmtid="{D5CDD505-2E9C-101B-9397-08002B2CF9AE}" pid="149" name="DN_SAG_Plomber">
    <vt:lpwstr> </vt:lpwstr>
  </property>
  <property fmtid="{D5CDD505-2E9C-101B-9397-08002B2CF9AE}" pid="150" name="DN_SAG_EL_tilslutning">
    <vt:lpwstr> </vt:lpwstr>
  </property>
  <property fmtid="{D5CDD505-2E9C-101B-9397-08002B2CF9AE}" pid="151" name="DN_SAG_Billeder">
    <vt:lpwstr> </vt:lpwstr>
  </property>
  <property fmtid="{D5CDD505-2E9C-101B-9397-08002B2CF9AE}" pid="152" name="DN_SAG_Måler_udleveret">
    <vt:lpwstr> </vt:lpwstr>
  </property>
  <property fmtid="{D5CDD505-2E9C-101B-9397-08002B2CF9AE}" pid="153" name="DN_SAG_Måler_opsat">
    <vt:lpwstr> </vt:lpwstr>
  </property>
  <property fmtid="{D5CDD505-2E9C-101B-9397-08002B2CF9AE}" pid="154" name="DN_SAG_Bemærkninger">
    <vt:lpwstr> </vt:lpwstr>
  </property>
  <property fmtid="{D5CDD505-2E9C-101B-9397-08002B2CF9AE}" pid="155" name="DN_SAG_Adresse">
    <vt:lpwstr> </vt:lpwstr>
  </property>
  <property fmtid="{D5CDD505-2E9C-101B-9397-08002B2CF9AE}" pid="156" name="DN_SAG_Telefon1">
    <vt:lpwstr> </vt:lpwstr>
  </property>
  <property fmtid="{D5CDD505-2E9C-101B-9397-08002B2CF9AE}" pid="157" name="DN_SAG_Telefon2">
    <vt:lpwstr> </vt:lpwstr>
  </property>
  <property fmtid="{D5CDD505-2E9C-101B-9397-08002B2CF9AE}" pid="158" name="DN_SAG_E_mail">
    <vt:lpwstr> </vt:lpwstr>
  </property>
  <property fmtid="{D5CDD505-2E9C-101B-9397-08002B2CF9AE}" pid="159" name="DN_SAG_kunde_Fuldenavn">
    <vt:lpwstr> </vt:lpwstr>
  </property>
  <property fmtid="{D5CDD505-2E9C-101B-9397-08002B2CF9AE}" pid="160" name="DN_SAG_Kunde_Gade">
    <vt:lpwstr> </vt:lpwstr>
  </property>
  <property fmtid="{D5CDD505-2E9C-101B-9397-08002B2CF9AE}" pid="161" name="DN_SAG_Kunde_Postnr">
    <vt:lpwstr> </vt:lpwstr>
  </property>
  <property fmtid="{D5CDD505-2E9C-101B-9397-08002B2CF9AE}" pid="162" name="DN_SAG_Kunde_By">
    <vt:lpwstr> </vt:lpwstr>
  </property>
  <property fmtid="{D5CDD505-2E9C-101B-9397-08002B2CF9AE}" pid="163" name="DN_SAG_Projekttype">
    <vt:lpwstr> </vt:lpwstr>
  </property>
  <property fmtid="{D5CDD505-2E9C-101B-9397-08002B2CF9AE}" pid="164" name="DN_SAG_Overenskomst">
    <vt:lpwstr> </vt:lpwstr>
  </property>
  <property fmtid="{D5CDD505-2E9C-101B-9397-08002B2CF9AE}" pid="165" name="DN_SAG_Medarb_nr">
    <vt:lpwstr> </vt:lpwstr>
  </property>
  <property fmtid="{D5CDD505-2E9C-101B-9397-08002B2CF9AE}" pid="166" name="DN_SAG_Postadr_Fuldenavn">
    <vt:lpwstr> </vt:lpwstr>
  </property>
  <property fmtid="{D5CDD505-2E9C-101B-9397-08002B2CF9AE}" pid="167" name="DN_SAG_Postadr_Gade">
    <vt:lpwstr> </vt:lpwstr>
  </property>
  <property fmtid="{D5CDD505-2E9C-101B-9397-08002B2CF9AE}" pid="168" name="DN_SAG_Postadr_Postnr">
    <vt:lpwstr> </vt:lpwstr>
  </property>
  <property fmtid="{D5CDD505-2E9C-101B-9397-08002B2CF9AE}" pid="169" name="DN_SAG_Postadr_By">
    <vt:lpwstr> </vt:lpwstr>
  </property>
  <property fmtid="{D5CDD505-2E9C-101B-9397-08002B2CF9AE}" pid="170" name="DN_SAG_Ansættelsesdato">
    <vt:lpwstr> </vt:lpwstr>
  </property>
  <property fmtid="{D5CDD505-2E9C-101B-9397-08002B2CF9AE}" pid="171" name="DN_SAG_Fratrædelsesdato">
    <vt:lpwstr> </vt:lpwstr>
  </property>
  <property fmtid="{D5CDD505-2E9C-101B-9397-08002B2CF9AE}" pid="172" name="DN_SAG_SystemEjer">
    <vt:lpwstr> </vt:lpwstr>
  </property>
  <property fmtid="{D5CDD505-2E9C-101B-9397-08002B2CF9AE}" pid="173" name="DN_SAG_DataEjer">
    <vt:lpwstr> </vt:lpwstr>
  </property>
  <property fmtid="{D5CDD505-2E9C-101B-9397-08002B2CF9AE}" pid="174" name="DN_SAG_SupIntNavn1">
    <vt:lpwstr> </vt:lpwstr>
  </property>
  <property fmtid="{D5CDD505-2E9C-101B-9397-08002B2CF9AE}" pid="175" name="DN_SAG_Leverandør">
    <vt:lpwstr> </vt:lpwstr>
  </property>
  <property fmtid="{D5CDD505-2E9C-101B-9397-08002B2CF9AE}" pid="176" name="DN_SAG_SupEksNavn1">
    <vt:lpwstr> </vt:lpwstr>
  </property>
  <property fmtid="{D5CDD505-2E9C-101B-9397-08002B2CF9AE}" pid="177" name="DN_SAG_Bemærkninger2">
    <vt:lpwstr> </vt:lpwstr>
  </property>
  <property fmtid="{D5CDD505-2E9C-101B-9397-08002B2CF9AE}" pid="178" name="DN_SAG_ServerNavne">
    <vt:lpwstr> </vt:lpwstr>
  </property>
  <property fmtid="{D5CDD505-2E9C-101B-9397-08002B2CF9AE}" pid="179" name="DN_SAG_SupIntAfd1">
    <vt:lpwstr> </vt:lpwstr>
  </property>
  <property fmtid="{D5CDD505-2E9C-101B-9397-08002B2CF9AE}" pid="180" name="DN_SAG_SupIntTlf1">
    <vt:lpwstr> </vt:lpwstr>
  </property>
  <property fmtid="{D5CDD505-2E9C-101B-9397-08002B2CF9AE}" pid="181" name="DN_SAG_SupIntNavn2">
    <vt:lpwstr> </vt:lpwstr>
  </property>
  <property fmtid="{D5CDD505-2E9C-101B-9397-08002B2CF9AE}" pid="182" name="DN_SAG_SupIntAfd2">
    <vt:lpwstr> </vt:lpwstr>
  </property>
  <property fmtid="{D5CDD505-2E9C-101B-9397-08002B2CF9AE}" pid="183" name="DN_SAG_SupIntTlf2">
    <vt:lpwstr> </vt:lpwstr>
  </property>
  <property fmtid="{D5CDD505-2E9C-101B-9397-08002B2CF9AE}" pid="184" name="DN_SAG_SupIntNavn3">
    <vt:lpwstr> </vt:lpwstr>
  </property>
  <property fmtid="{D5CDD505-2E9C-101B-9397-08002B2CF9AE}" pid="185" name="DN_SAG_SupIntAfd3">
    <vt:lpwstr> </vt:lpwstr>
  </property>
  <property fmtid="{D5CDD505-2E9C-101B-9397-08002B2CF9AE}" pid="186" name="DN_SAG_SupIntTlf3">
    <vt:lpwstr> </vt:lpwstr>
  </property>
  <property fmtid="{D5CDD505-2E9C-101B-9397-08002B2CF9AE}" pid="187" name="DN_SAG_SupEksFirma1">
    <vt:lpwstr> </vt:lpwstr>
  </property>
  <property fmtid="{D5CDD505-2E9C-101B-9397-08002B2CF9AE}" pid="188" name="DN_SAG_SupEksEmail1">
    <vt:lpwstr> </vt:lpwstr>
  </property>
  <property fmtid="{D5CDD505-2E9C-101B-9397-08002B2CF9AE}" pid="189" name="DN_SAG_SupEksTlf1">
    <vt:lpwstr> </vt:lpwstr>
  </property>
  <property fmtid="{D5CDD505-2E9C-101B-9397-08002B2CF9AE}" pid="190" name="DN_SAG_Afdelingsnummer">
    <vt:lpwstr> </vt:lpwstr>
  </property>
  <property fmtid="{D5CDD505-2E9C-101B-9397-08002B2CF9AE}" pid="191" name="DN_SAG_Leverandør2">
    <vt:lpwstr> </vt:lpwstr>
  </property>
  <property fmtid="{D5CDD505-2E9C-101B-9397-08002B2CF9AE}" pid="192" name="DN_SAG_SupEksNavn2">
    <vt:lpwstr> </vt:lpwstr>
  </property>
  <property fmtid="{D5CDD505-2E9C-101B-9397-08002B2CF9AE}" pid="193" name="DN_SAG_SupEksFirma2">
    <vt:lpwstr> </vt:lpwstr>
  </property>
  <property fmtid="{D5CDD505-2E9C-101B-9397-08002B2CF9AE}" pid="194" name="DN_SAG_SupEksEmail2">
    <vt:lpwstr> </vt:lpwstr>
  </property>
  <property fmtid="{D5CDD505-2E9C-101B-9397-08002B2CF9AE}" pid="195" name="DN_SAG_SupEksTlf2">
    <vt:lpwstr> </vt:lpwstr>
  </property>
  <property fmtid="{D5CDD505-2E9C-101B-9397-08002B2CF9AE}" pid="196" name="DN_SAG_SupEksNavn3">
    <vt:lpwstr> </vt:lpwstr>
  </property>
  <property fmtid="{D5CDD505-2E9C-101B-9397-08002B2CF9AE}" pid="197" name="DN_SAG_SupEksFirma3">
    <vt:lpwstr> </vt:lpwstr>
  </property>
  <property fmtid="{D5CDD505-2E9C-101B-9397-08002B2CF9AE}" pid="198" name="DN_SAG_SupEksEmail3">
    <vt:lpwstr> </vt:lpwstr>
  </property>
  <property fmtid="{D5CDD505-2E9C-101B-9397-08002B2CF9AE}" pid="199" name="DN_SAG_SupEksTlf3">
    <vt:lpwstr> </vt:lpwstr>
  </property>
  <property fmtid="{D5CDD505-2E9C-101B-9397-08002B2CF9AE}" pid="200" name="DN_SAG_SupEksNavn4">
    <vt:lpwstr> </vt:lpwstr>
  </property>
  <property fmtid="{D5CDD505-2E9C-101B-9397-08002B2CF9AE}" pid="201" name="DN_SAG_SupEksFirma4">
    <vt:lpwstr> </vt:lpwstr>
  </property>
  <property fmtid="{D5CDD505-2E9C-101B-9397-08002B2CF9AE}" pid="202" name="DN_SAG_SupEksEmail4">
    <vt:lpwstr> </vt:lpwstr>
  </property>
  <property fmtid="{D5CDD505-2E9C-101B-9397-08002B2CF9AE}" pid="203" name="DN_SAG_SupEksTlf4">
    <vt:lpwstr> </vt:lpwstr>
  </property>
  <property fmtid="{D5CDD505-2E9C-101B-9397-08002B2CF9AE}" pid="204" name="DN_SAG_SupEksNavn5">
    <vt:lpwstr> </vt:lpwstr>
  </property>
  <property fmtid="{D5CDD505-2E9C-101B-9397-08002B2CF9AE}" pid="205" name="DN_SAG_SupEksFirma5">
    <vt:lpwstr> </vt:lpwstr>
  </property>
  <property fmtid="{D5CDD505-2E9C-101B-9397-08002B2CF9AE}" pid="206" name="DN_SAG_SupEksEmail5">
    <vt:lpwstr> </vt:lpwstr>
  </property>
  <property fmtid="{D5CDD505-2E9C-101B-9397-08002B2CF9AE}" pid="207" name="DN_SAG_SupEksTlf5">
    <vt:lpwstr> </vt:lpwstr>
  </property>
  <property fmtid="{D5CDD505-2E9C-101B-9397-08002B2CF9AE}" pid="208" name="DN_SAG_SupIntNavn4">
    <vt:lpwstr> </vt:lpwstr>
  </property>
  <property fmtid="{D5CDD505-2E9C-101B-9397-08002B2CF9AE}" pid="209" name="DN_SAG_SupIntAfd4">
    <vt:lpwstr> </vt:lpwstr>
  </property>
  <property fmtid="{D5CDD505-2E9C-101B-9397-08002B2CF9AE}" pid="210" name="DN_SAG_SupIntTlf4">
    <vt:lpwstr> </vt:lpwstr>
  </property>
  <property fmtid="{D5CDD505-2E9C-101B-9397-08002B2CF9AE}" pid="211" name="DN_SAG_SupIntNavn5">
    <vt:lpwstr> </vt:lpwstr>
  </property>
  <property fmtid="{D5CDD505-2E9C-101B-9397-08002B2CF9AE}" pid="212" name="DN_SAG_SupIntAfd5">
    <vt:lpwstr> </vt:lpwstr>
  </property>
  <property fmtid="{D5CDD505-2E9C-101B-9397-08002B2CF9AE}" pid="213" name="DN_SAG_SupIntTlf5">
    <vt:lpwstr> </vt:lpwstr>
  </property>
  <property fmtid="{D5CDD505-2E9C-101B-9397-08002B2CF9AE}" pid="214" name="DN_DOK_Org_Afdeling">
    <vt:lpwstr> </vt:lpwstr>
  </property>
  <property fmtid="{D5CDD505-2E9C-101B-9397-08002B2CF9AE}" pid="215" name="DN_DOK_Startdato">
    <vt:lpwstr> </vt:lpwstr>
  </property>
  <property fmtid="{D5CDD505-2E9C-101B-9397-08002B2CF9AE}" pid="216" name="DN_DOK_Grundløntrin">
    <vt:lpwstr> </vt:lpwstr>
  </property>
  <property fmtid="{D5CDD505-2E9C-101B-9397-08002B2CF9AE}" pid="217" name="DN_DOK_Funktionsløn">
    <vt:lpwstr> </vt:lpwstr>
  </property>
  <property fmtid="{D5CDD505-2E9C-101B-9397-08002B2CF9AE}" pid="218" name="DN_DOK_Kvalifikationsløn">
    <vt:lpwstr> </vt:lpwstr>
  </property>
  <property fmtid="{D5CDD505-2E9C-101B-9397-08002B2CF9AE}" pid="219" name="DN_DOK_Løntrin_i_alt">
    <vt:lpwstr> </vt:lpwstr>
  </property>
  <property fmtid="{D5CDD505-2E9C-101B-9397-08002B2CF9AE}" pid="220" name="DN_DOK_Nettobeløb">
    <vt:lpwstr> </vt:lpwstr>
  </property>
  <property fmtid="{D5CDD505-2E9C-101B-9397-08002B2CF9AE}" pid="221" name="DN_DOK_Bruttobeløb">
    <vt:lpwstr> </vt:lpwstr>
  </property>
  <property fmtid="{D5CDD505-2E9C-101B-9397-08002B2CF9AE}" pid="222" name="DN_DOK_TXT_Fagforening">
    <vt:lpwstr> </vt:lpwstr>
  </property>
  <property fmtid="{D5CDD505-2E9C-101B-9397-08002B2CF9AE}" pid="223" name="DN_SAG_Højtryksledning">
    <vt:lpwstr> </vt:lpwstr>
  </property>
  <property fmtid="{D5CDD505-2E9C-101B-9397-08002B2CF9AE}" pid="224" name="DN_SAG_CPR_4_sidste">
    <vt:lpwstr> </vt:lpwstr>
  </property>
  <property fmtid="{D5CDD505-2E9C-101B-9397-08002B2CF9AE}" pid="225" name="ContentTypeId">
    <vt:lpwstr>0x01010038953F3F28AB5149864E43D2CC99E4E9</vt:lpwstr>
  </property>
</Properties>
</file>